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ubens\Desktop\LOTE 2 MANUTENÇÃO PREDIAL\LOTE 3 MANUTENÇÃO PREDIAL CAMPUS PINHEIRO ALCANTARA\SETEMBRO2023\"/>
    </mc:Choice>
  </mc:AlternateContent>
  <bookViews>
    <workbookView xWindow="-105" yWindow="-105" windowWidth="23250" windowHeight="12570" firstSheet="3" activeTab="3"/>
  </bookViews>
  <sheets>
    <sheet name="Declaração Elaboração Planilha" sheetId="3" state="hidden" r:id="rId1"/>
    <sheet name="Planilha Composição BDI" sheetId="2" state="hidden" r:id="rId2"/>
    <sheet name="Planilha Sintético Estimativa" sheetId="1" state="hidden" r:id="rId3"/>
    <sheet name="cronograma " sheetId="4" r:id="rId4"/>
    <sheet name="Plan1" sheetId="5" state="hidden" r:id="rId5"/>
    <sheet name="Adm.Local.Empresa" sheetId="8" state="hidden" r:id="rId6"/>
    <sheet name="Itens Relevantes" sheetId="7" state="hidden" r:id="rId7"/>
  </sheets>
  <externalReferences>
    <externalReference r:id="rId8"/>
    <externalReference r:id="rId9"/>
  </externalReferences>
  <definedNames>
    <definedName name="_xlnm.Print_Area" localSheetId="5">Adm.Local.Empresa!$A$1:$J$81</definedName>
    <definedName name="_xlnm.Print_Area" localSheetId="0">'Declaração Elaboração Planilha'!$A$1:$F$19</definedName>
    <definedName name="_xlnm.Print_Area" localSheetId="6">'Itens Relevantes'!$A$1:$K$411</definedName>
    <definedName name="_xlnm.Print_Area" localSheetId="2">'Planilha Sintético Estimativa'!$A$1:$I$411</definedName>
    <definedName name="_xlnm.Print_Titles" localSheetId="5">Adm.Local.Empresa!$3:$8</definedName>
    <definedName name="_xlnm.Print_Titles" localSheetId="6">'Itens Relevantes'!$1:$11</definedName>
    <definedName name="_xlnm.Print_Titles" localSheetId="2">'Planilha Sintético Estimativa'!$1:$11</definedName>
  </definedNames>
  <calcPr calcId="152511"/>
  <fileRecoveryPr repairLoad="1"/>
</workbook>
</file>

<file path=xl/calcChain.xml><?xml version="1.0" encoding="utf-8"?>
<calcChain xmlns="http://schemas.openxmlformats.org/spreadsheetml/2006/main">
  <c r="D57" i="8" l="1"/>
  <c r="F57" i="8" s="1"/>
  <c r="E55" i="8"/>
  <c r="C55" i="8"/>
  <c r="E50" i="8"/>
  <c r="D50" i="8"/>
  <c r="F50" i="8" s="1"/>
  <c r="F51" i="8" s="1"/>
  <c r="E66" i="8" s="1"/>
  <c r="E45" i="8"/>
  <c r="D45" i="8"/>
  <c r="F45" i="8" s="1"/>
  <c r="E44" i="8"/>
  <c r="D44" i="8"/>
  <c r="E43" i="8"/>
  <c r="D43" i="8"/>
  <c r="F43" i="8" s="1"/>
  <c r="C37" i="8"/>
  <c r="C36" i="8"/>
  <c r="C35" i="8"/>
  <c r="C34" i="8"/>
  <c r="F31" i="8"/>
  <c r="E31" i="8"/>
  <c r="G31" i="8" s="1"/>
  <c r="F30" i="8"/>
  <c r="E30" i="8"/>
  <c r="D30" i="8"/>
  <c r="F29" i="8"/>
  <c r="E29" i="8"/>
  <c r="G29" i="8" s="1"/>
  <c r="H24" i="8"/>
  <c r="G24" i="8"/>
  <c r="E24" i="8"/>
  <c r="D24" i="8"/>
  <c r="C24" i="8"/>
  <c r="H23" i="8"/>
  <c r="G23" i="8"/>
  <c r="E23" i="8"/>
  <c r="F23" i="8" s="1"/>
  <c r="I23" i="8" s="1"/>
  <c r="D23" i="8"/>
  <c r="C23" i="8"/>
  <c r="H22" i="8"/>
  <c r="G22" i="8"/>
  <c r="E22" i="8"/>
  <c r="D22" i="8"/>
  <c r="C22" i="8"/>
  <c r="H21" i="8"/>
  <c r="G21" i="8"/>
  <c r="E21" i="8"/>
  <c r="D21" i="8"/>
  <c r="C21" i="8"/>
  <c r="F21" i="8" s="1"/>
  <c r="I21" i="8" s="1"/>
  <c r="H20" i="8"/>
  <c r="G20" i="8"/>
  <c r="E20" i="8"/>
  <c r="D20" i="8"/>
  <c r="C20" i="8"/>
  <c r="H19" i="8"/>
  <c r="G19" i="8"/>
  <c r="F19" i="8"/>
  <c r="I19" i="8" s="1"/>
  <c r="E19" i="8"/>
  <c r="D19" i="8"/>
  <c r="C19" i="8"/>
  <c r="H18" i="8"/>
  <c r="G18" i="8"/>
  <c r="E18" i="8"/>
  <c r="D18" i="8"/>
  <c r="C18" i="8"/>
  <c r="H17" i="8"/>
  <c r="G17" i="8"/>
  <c r="E17" i="8"/>
  <c r="D17" i="8"/>
  <c r="F17" i="8" s="1"/>
  <c r="I17" i="8" s="1"/>
  <c r="C17" i="8"/>
  <c r="H16" i="8"/>
  <c r="G16" i="8"/>
  <c r="E16" i="8"/>
  <c r="D16" i="8"/>
  <c r="C16" i="8"/>
  <c r="H15" i="8"/>
  <c r="G15" i="8"/>
  <c r="E15" i="8"/>
  <c r="F15" i="8" s="1"/>
  <c r="D15" i="8"/>
  <c r="C15" i="8"/>
  <c r="H14" i="8"/>
  <c r="G14" i="8"/>
  <c r="E14" i="8"/>
  <c r="D14" i="8"/>
  <c r="C14" i="8"/>
  <c r="H13" i="8"/>
  <c r="G13" i="8"/>
  <c r="E13" i="8"/>
  <c r="D13" i="8"/>
  <c r="C13" i="8"/>
  <c r="H12" i="8"/>
  <c r="G12" i="8"/>
  <c r="E12" i="8"/>
  <c r="D12" i="8"/>
  <c r="C12" i="8"/>
  <c r="G25" i="8" l="1"/>
  <c r="F22" i="8"/>
  <c r="G55" i="8"/>
  <c r="F59" i="8" s="1"/>
  <c r="E67" i="8" s="1"/>
  <c r="F12" i="8"/>
  <c r="I12" i="8" s="1"/>
  <c r="I25" i="8" s="1"/>
  <c r="E63" i="8" s="1"/>
  <c r="I15" i="8"/>
  <c r="F24" i="8"/>
  <c r="I24" i="8" s="1"/>
  <c r="F58" i="8"/>
  <c r="I22" i="8"/>
  <c r="H25" i="8"/>
  <c r="C38" i="8"/>
  <c r="F16" i="8"/>
  <c r="I16" i="8" s="1"/>
  <c r="F18" i="8"/>
  <c r="I18" i="8" s="1"/>
  <c r="F13" i="8"/>
  <c r="I13" i="8" s="1"/>
  <c r="F14" i="8"/>
  <c r="I14" i="8" s="1"/>
  <c r="F20" i="8"/>
  <c r="I20" i="8" s="1"/>
  <c r="G30" i="8"/>
  <c r="G32" i="8" s="1"/>
  <c r="F44" i="8"/>
  <c r="F46" i="8"/>
  <c r="E65" i="8" s="1"/>
  <c r="F25" i="8" l="1"/>
  <c r="G39" i="8"/>
  <c r="E64" i="8" s="1"/>
  <c r="E68" i="8" s="1"/>
  <c r="K68" i="8" l="1"/>
  <c r="E69" i="8"/>
  <c r="E72" i="8" s="1"/>
  <c r="E119" i="1"/>
  <c r="E119" i="7"/>
  <c r="G119" i="7" s="1"/>
  <c r="I119" i="7" s="1"/>
  <c r="E118" i="7"/>
  <c r="E116" i="7"/>
  <c r="E115" i="7"/>
  <c r="G115" i="7" s="1"/>
  <c r="E113" i="7"/>
  <c r="G113" i="7" s="1"/>
  <c r="I113" i="7" s="1"/>
  <c r="E112" i="7"/>
  <c r="E111" i="7"/>
  <c r="E109" i="7"/>
  <c r="E108" i="7"/>
  <c r="J108" i="7" s="1"/>
  <c r="J107" i="7" s="1"/>
  <c r="E106" i="7"/>
  <c r="E105" i="7"/>
  <c r="E104" i="7"/>
  <c r="E103" i="7"/>
  <c r="G103" i="7" s="1"/>
  <c r="I103" i="7" s="1"/>
  <c r="E102" i="7"/>
  <c r="E101" i="7"/>
  <c r="E100" i="7"/>
  <c r="E99" i="7"/>
  <c r="G99" i="7" s="1"/>
  <c r="I99" i="7" s="1"/>
  <c r="E96" i="7"/>
  <c r="E95" i="7"/>
  <c r="E93" i="7"/>
  <c r="E90" i="7"/>
  <c r="G90" i="7" s="1"/>
  <c r="I90" i="7" s="1"/>
  <c r="E88" i="7"/>
  <c r="E87" i="7"/>
  <c r="E86" i="7"/>
  <c r="E85" i="7"/>
  <c r="G85" i="7" s="1"/>
  <c r="I85" i="7" s="1"/>
  <c r="E84" i="7"/>
  <c r="E81" i="7"/>
  <c r="E78" i="7"/>
  <c r="E74" i="7"/>
  <c r="G74" i="7" s="1"/>
  <c r="I74" i="7" s="1"/>
  <c r="E73" i="7"/>
  <c r="E71" i="7"/>
  <c r="E70" i="7"/>
  <c r="E69" i="7"/>
  <c r="G69" i="7" s="1"/>
  <c r="I69" i="7" s="1"/>
  <c r="E68" i="7"/>
  <c r="E67" i="7"/>
  <c r="E66" i="7"/>
  <c r="E64" i="7"/>
  <c r="J64" i="7" s="1"/>
  <c r="E63" i="7"/>
  <c r="E62" i="7"/>
  <c r="E61" i="7"/>
  <c r="E60" i="7"/>
  <c r="J60" i="7" s="1"/>
  <c r="E59" i="7"/>
  <c r="E57" i="7"/>
  <c r="E56" i="7"/>
  <c r="E55" i="7"/>
  <c r="J55" i="7" s="1"/>
  <c r="E52" i="7"/>
  <c r="E49" i="7"/>
  <c r="E48" i="7"/>
  <c r="J48" i="7" s="1"/>
  <c r="E45" i="7"/>
  <c r="J45" i="7" s="1"/>
  <c r="E44" i="7"/>
  <c r="E43" i="7"/>
  <c r="E42" i="7"/>
  <c r="E41" i="7"/>
  <c r="J41" i="7" s="1"/>
  <c r="E40" i="7"/>
  <c r="E39" i="7"/>
  <c r="E38" i="7"/>
  <c r="E37" i="7"/>
  <c r="J37" i="7" s="1"/>
  <c r="E36" i="7"/>
  <c r="E35" i="7"/>
  <c r="E34" i="7"/>
  <c r="E33" i="7"/>
  <c r="J33" i="7" s="1"/>
  <c r="E32" i="7"/>
  <c r="E31" i="7"/>
  <c r="E30" i="7"/>
  <c r="E29" i="7"/>
  <c r="J29" i="7" s="1"/>
  <c r="E28" i="7"/>
  <c r="E27" i="7"/>
  <c r="E26" i="7"/>
  <c r="E25" i="7"/>
  <c r="J25" i="7" s="1"/>
  <c r="E24" i="7"/>
  <c r="E23" i="7"/>
  <c r="E22" i="7"/>
  <c r="E21" i="7"/>
  <c r="J21" i="7" s="1"/>
  <c r="E19" i="7"/>
  <c r="E18" i="7"/>
  <c r="E17" i="7"/>
  <c r="E16" i="7"/>
  <c r="J16" i="7" s="1"/>
  <c r="E15" i="7"/>
  <c r="E14" i="7"/>
  <c r="E13" i="7"/>
  <c r="E399" i="1"/>
  <c r="E398" i="1"/>
  <c r="E396" i="1"/>
  <c r="E395" i="1"/>
  <c r="E394" i="1"/>
  <c r="E393" i="1"/>
  <c r="E392" i="1"/>
  <c r="E391" i="1"/>
  <c r="E385" i="1"/>
  <c r="E384" i="1"/>
  <c r="E383" i="1"/>
  <c r="E382" i="1"/>
  <c r="E379" i="1"/>
  <c r="E378" i="1"/>
  <c r="E377" i="1"/>
  <c r="E376" i="1"/>
  <c r="E375" i="1"/>
  <c r="E374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44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3" i="1"/>
  <c r="E341" i="1"/>
  <c r="E340" i="1"/>
  <c r="E339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60" i="1"/>
  <c r="E259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8" i="1"/>
  <c r="E207" i="1"/>
  <c r="E206" i="1"/>
  <c r="E204" i="1"/>
  <c r="E203" i="1"/>
  <c r="E202" i="1"/>
  <c r="E201" i="1"/>
  <c r="E199" i="1"/>
  <c r="E198" i="1"/>
  <c r="E197" i="1"/>
  <c r="E196" i="1"/>
  <c r="E195" i="1"/>
  <c r="E194" i="1"/>
  <c r="E193" i="1"/>
  <c r="E192" i="1"/>
  <c r="E190" i="1"/>
  <c r="E189" i="1"/>
  <c r="E188" i="1"/>
  <c r="E187" i="1"/>
  <c r="E185" i="1"/>
  <c r="E184" i="1"/>
  <c r="E183" i="1"/>
  <c r="E182" i="1"/>
  <c r="E181" i="1"/>
  <c r="E180" i="1"/>
  <c r="E179" i="1"/>
  <c r="E178" i="1"/>
  <c r="E177" i="1"/>
  <c r="E176" i="1"/>
  <c r="E175" i="1"/>
  <c r="E172" i="1"/>
  <c r="E171" i="1"/>
  <c r="E170" i="1"/>
  <c r="E168" i="1"/>
  <c r="E167" i="1"/>
  <c r="E166" i="1"/>
  <c r="E165" i="1"/>
  <c r="E164" i="1"/>
  <c r="E162" i="1"/>
  <c r="E161" i="1"/>
  <c r="E160" i="1"/>
  <c r="E159" i="1"/>
  <c r="E157" i="1"/>
  <c r="E156" i="1"/>
  <c r="E155" i="1"/>
  <c r="E153" i="1"/>
  <c r="E152" i="1"/>
  <c r="E150" i="1"/>
  <c r="E148" i="1"/>
  <c r="E147" i="1"/>
  <c r="E145" i="1"/>
  <c r="E144" i="1"/>
  <c r="E141" i="1"/>
  <c r="E140" i="1"/>
  <c r="E139" i="1"/>
  <c r="E138" i="1"/>
  <c r="E137" i="1"/>
  <c r="E136" i="1"/>
  <c r="E134" i="1"/>
  <c r="E133" i="1"/>
  <c r="E131" i="1"/>
  <c r="E130" i="1"/>
  <c r="E128" i="1"/>
  <c r="E127" i="1"/>
  <c r="E126" i="1"/>
  <c r="E125" i="1"/>
  <c r="E124" i="1"/>
  <c r="E123" i="1"/>
  <c r="E122" i="1"/>
  <c r="E118" i="1"/>
  <c r="E116" i="1"/>
  <c r="E115" i="1"/>
  <c r="E113" i="1"/>
  <c r="E112" i="1"/>
  <c r="E111" i="1"/>
  <c r="E109" i="1"/>
  <c r="E108" i="1"/>
  <c r="E106" i="1"/>
  <c r="E105" i="1"/>
  <c r="E104" i="1"/>
  <c r="E103" i="1"/>
  <c r="E102" i="1"/>
  <c r="E101" i="1"/>
  <c r="E100" i="1"/>
  <c r="E99" i="1"/>
  <c r="E96" i="1"/>
  <c r="E95" i="1"/>
  <c r="E93" i="1"/>
  <c r="E90" i="1"/>
  <c r="E88" i="1"/>
  <c r="E87" i="1"/>
  <c r="E86" i="1"/>
  <c r="E85" i="1"/>
  <c r="E84" i="1"/>
  <c r="E81" i="1"/>
  <c r="E78" i="1"/>
  <c r="E74" i="1"/>
  <c r="E73" i="1"/>
  <c r="E71" i="1"/>
  <c r="E70" i="1"/>
  <c r="E69" i="1"/>
  <c r="E68" i="1"/>
  <c r="E67" i="1"/>
  <c r="E66" i="1"/>
  <c r="E64" i="1"/>
  <c r="E63" i="1"/>
  <c r="E62" i="1"/>
  <c r="E61" i="1"/>
  <c r="E60" i="1"/>
  <c r="E59" i="1"/>
  <c r="E52" i="1"/>
  <c r="E57" i="1"/>
  <c r="E56" i="1"/>
  <c r="E55" i="1"/>
  <c r="E49" i="1"/>
  <c r="E48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19" i="1"/>
  <c r="E18" i="1"/>
  <c r="E17" i="1"/>
  <c r="E16" i="1"/>
  <c r="E15" i="1"/>
  <c r="E14" i="1"/>
  <c r="E13" i="1"/>
  <c r="J402" i="7"/>
  <c r="J401" i="7" s="1"/>
  <c r="H402" i="7"/>
  <c r="H401" i="7" s="1"/>
  <c r="G402" i="7"/>
  <c r="I402" i="7" s="1"/>
  <c r="I401" i="7" s="1"/>
  <c r="L410" i="7" s="1"/>
  <c r="G401" i="7"/>
  <c r="F401" i="7"/>
  <c r="J400" i="7"/>
  <c r="H400" i="7"/>
  <c r="G400" i="7"/>
  <c r="I400" i="7" s="1"/>
  <c r="J399" i="7"/>
  <c r="H399" i="7"/>
  <c r="G399" i="7"/>
  <c r="I399" i="7" s="1"/>
  <c r="J398" i="7"/>
  <c r="J397" i="7" s="1"/>
  <c r="H398" i="7"/>
  <c r="G398" i="7"/>
  <c r="I398" i="7" s="1"/>
  <c r="F397" i="7"/>
  <c r="J396" i="7"/>
  <c r="H396" i="7"/>
  <c r="G396" i="7"/>
  <c r="I396" i="7" s="1"/>
  <c r="J395" i="7"/>
  <c r="H395" i="7"/>
  <c r="G395" i="7"/>
  <c r="I395" i="7" s="1"/>
  <c r="J394" i="7"/>
  <c r="H394" i="7"/>
  <c r="G394" i="7"/>
  <c r="I394" i="7" s="1"/>
  <c r="J393" i="7"/>
  <c r="H393" i="7"/>
  <c r="G393" i="7"/>
  <c r="I393" i="7" s="1"/>
  <c r="J392" i="7"/>
  <c r="H392" i="7"/>
  <c r="G392" i="7"/>
  <c r="I392" i="7" s="1"/>
  <c r="J391" i="7"/>
  <c r="H391" i="7"/>
  <c r="G391" i="7"/>
  <c r="I391" i="7" s="1"/>
  <c r="F390" i="7"/>
  <c r="J389" i="7"/>
  <c r="H389" i="7"/>
  <c r="G389" i="7"/>
  <c r="I389" i="7" s="1"/>
  <c r="J388" i="7"/>
  <c r="H388" i="7"/>
  <c r="G388" i="7"/>
  <c r="I388" i="7" s="1"/>
  <c r="F387" i="7"/>
  <c r="J385" i="7"/>
  <c r="H385" i="7"/>
  <c r="G385" i="7"/>
  <c r="I385" i="7" s="1"/>
  <c r="J384" i="7"/>
  <c r="H384" i="7"/>
  <c r="G384" i="7"/>
  <c r="I384" i="7" s="1"/>
  <c r="J383" i="7"/>
  <c r="H383" i="7"/>
  <c r="G383" i="7"/>
  <c r="I383" i="7" s="1"/>
  <c r="J382" i="7"/>
  <c r="J381" i="7" s="1"/>
  <c r="J380" i="7" s="1"/>
  <c r="H382" i="7"/>
  <c r="G382" i="7"/>
  <c r="I382" i="7" s="1"/>
  <c r="F381" i="7"/>
  <c r="F380" i="7"/>
  <c r="J379" i="7"/>
  <c r="H379" i="7"/>
  <c r="G379" i="7"/>
  <c r="I379" i="7" s="1"/>
  <c r="J378" i="7"/>
  <c r="H378" i="7"/>
  <c r="G378" i="7"/>
  <c r="I378" i="7" s="1"/>
  <c r="J377" i="7"/>
  <c r="H377" i="7"/>
  <c r="G377" i="7"/>
  <c r="I377" i="7" s="1"/>
  <c r="J376" i="7"/>
  <c r="H376" i="7"/>
  <c r="G376" i="7"/>
  <c r="I376" i="7" s="1"/>
  <c r="J375" i="7"/>
  <c r="H375" i="7"/>
  <c r="G375" i="7"/>
  <c r="I375" i="7" s="1"/>
  <c r="J374" i="7"/>
  <c r="H374" i="7"/>
  <c r="G374" i="7"/>
  <c r="I374" i="7" s="1"/>
  <c r="F373" i="7"/>
  <c r="J372" i="7"/>
  <c r="H372" i="7"/>
  <c r="G372" i="7"/>
  <c r="I372" i="7" s="1"/>
  <c r="J371" i="7"/>
  <c r="H371" i="7"/>
  <c r="G371" i="7"/>
  <c r="I371" i="7" s="1"/>
  <c r="J370" i="7"/>
  <c r="H370" i="7"/>
  <c r="G370" i="7"/>
  <c r="I370" i="7" s="1"/>
  <c r="J369" i="7"/>
  <c r="H369" i="7"/>
  <c r="G369" i="7"/>
  <c r="I369" i="7" s="1"/>
  <c r="J368" i="7"/>
  <c r="H368" i="7"/>
  <c r="G368" i="7"/>
  <c r="I368" i="7" s="1"/>
  <c r="J367" i="7"/>
  <c r="H367" i="7"/>
  <c r="G367" i="7"/>
  <c r="I367" i="7" s="1"/>
  <c r="J366" i="7"/>
  <c r="H366" i="7"/>
  <c r="G366" i="7"/>
  <c r="I366" i="7" s="1"/>
  <c r="J365" i="7"/>
  <c r="H365" i="7"/>
  <c r="G365" i="7"/>
  <c r="I365" i="7" s="1"/>
  <c r="J364" i="7"/>
  <c r="H364" i="7"/>
  <c r="G364" i="7"/>
  <c r="I364" i="7" s="1"/>
  <c r="J363" i="7"/>
  <c r="H363" i="7"/>
  <c r="G363" i="7"/>
  <c r="I363" i="7" s="1"/>
  <c r="J362" i="7"/>
  <c r="H362" i="7"/>
  <c r="G362" i="7"/>
  <c r="I362" i="7" s="1"/>
  <c r="J361" i="7"/>
  <c r="H361" i="7"/>
  <c r="G361" i="7"/>
  <c r="I361" i="7" s="1"/>
  <c r="J360" i="7"/>
  <c r="H360" i="7"/>
  <c r="G360" i="7"/>
  <c r="I360" i="7" s="1"/>
  <c r="J359" i="7"/>
  <c r="H359" i="7"/>
  <c r="H358" i="7" s="1"/>
  <c r="G359" i="7"/>
  <c r="I359" i="7" s="1"/>
  <c r="F358" i="7"/>
  <c r="J357" i="7"/>
  <c r="H357" i="7"/>
  <c r="G357" i="7"/>
  <c r="I357" i="7" s="1"/>
  <c r="J356" i="7"/>
  <c r="H356" i="7"/>
  <c r="G356" i="7"/>
  <c r="I356" i="7" s="1"/>
  <c r="J355" i="7"/>
  <c r="H355" i="7"/>
  <c r="G355" i="7"/>
  <c r="I355" i="7" s="1"/>
  <c r="J354" i="7"/>
  <c r="H354" i="7"/>
  <c r="G354" i="7"/>
  <c r="I354" i="7" s="1"/>
  <c r="J353" i="7"/>
  <c r="H353" i="7"/>
  <c r="G353" i="7"/>
  <c r="I353" i="7" s="1"/>
  <c r="J352" i="7"/>
  <c r="H352" i="7"/>
  <c r="G352" i="7"/>
  <c r="I352" i="7" s="1"/>
  <c r="J351" i="7"/>
  <c r="H351" i="7"/>
  <c r="G351" i="7"/>
  <c r="I351" i="7" s="1"/>
  <c r="J350" i="7"/>
  <c r="H350" i="7"/>
  <c r="G350" i="7"/>
  <c r="I350" i="7" s="1"/>
  <c r="J349" i="7"/>
  <c r="H349" i="7"/>
  <c r="G349" i="7"/>
  <c r="I349" i="7" s="1"/>
  <c r="J348" i="7"/>
  <c r="H348" i="7"/>
  <c r="G348" i="7"/>
  <c r="I348" i="7" s="1"/>
  <c r="J347" i="7"/>
  <c r="H347" i="7"/>
  <c r="G347" i="7"/>
  <c r="I347" i="7" s="1"/>
  <c r="J346" i="7"/>
  <c r="H346" i="7"/>
  <c r="G346" i="7"/>
  <c r="I346" i="7" s="1"/>
  <c r="J345" i="7"/>
  <c r="H345" i="7"/>
  <c r="H342" i="7" s="1"/>
  <c r="G345" i="7"/>
  <c r="I345" i="7" s="1"/>
  <c r="J344" i="7"/>
  <c r="H344" i="7"/>
  <c r="G344" i="7"/>
  <c r="I344" i="7" s="1"/>
  <c r="J343" i="7"/>
  <c r="H343" i="7"/>
  <c r="G343" i="7"/>
  <c r="I343" i="7" s="1"/>
  <c r="J342" i="7"/>
  <c r="F342" i="7"/>
  <c r="J341" i="7"/>
  <c r="H341" i="7"/>
  <c r="G341" i="7"/>
  <c r="I341" i="7" s="1"/>
  <c r="J340" i="7"/>
  <c r="H340" i="7"/>
  <c r="G340" i="7"/>
  <c r="I340" i="7" s="1"/>
  <c r="J339" i="7"/>
  <c r="H339" i="7"/>
  <c r="G339" i="7"/>
  <c r="I339" i="7" s="1"/>
  <c r="F338" i="7"/>
  <c r="J337" i="7"/>
  <c r="H337" i="7"/>
  <c r="G337" i="7"/>
  <c r="I337" i="7" s="1"/>
  <c r="J336" i="7"/>
  <c r="H336" i="7"/>
  <c r="G336" i="7"/>
  <c r="I336" i="7" s="1"/>
  <c r="J335" i="7"/>
  <c r="H335" i="7"/>
  <c r="G335" i="7"/>
  <c r="I335" i="7" s="1"/>
  <c r="J334" i="7"/>
  <c r="H334" i="7"/>
  <c r="G334" i="7"/>
  <c r="I334" i="7" s="1"/>
  <c r="J333" i="7"/>
  <c r="H333" i="7"/>
  <c r="G333" i="7"/>
  <c r="I333" i="7" s="1"/>
  <c r="J332" i="7"/>
  <c r="H332" i="7"/>
  <c r="G332" i="7"/>
  <c r="I332" i="7" s="1"/>
  <c r="J331" i="7"/>
  <c r="H331" i="7"/>
  <c r="G331" i="7"/>
  <c r="I331" i="7" s="1"/>
  <c r="J330" i="7"/>
  <c r="H330" i="7"/>
  <c r="G330" i="7"/>
  <c r="I330" i="7" s="1"/>
  <c r="J329" i="7"/>
  <c r="H329" i="7"/>
  <c r="G329" i="7"/>
  <c r="I329" i="7" s="1"/>
  <c r="J328" i="7"/>
  <c r="H328" i="7"/>
  <c r="G328" i="7"/>
  <c r="I328" i="7" s="1"/>
  <c r="J327" i="7"/>
  <c r="H327" i="7"/>
  <c r="G327" i="7"/>
  <c r="I327" i="7" s="1"/>
  <c r="J326" i="7"/>
  <c r="H326" i="7"/>
  <c r="G326" i="7"/>
  <c r="I326" i="7" s="1"/>
  <c r="J325" i="7"/>
  <c r="H325" i="7"/>
  <c r="G325" i="7"/>
  <c r="I325" i="7" s="1"/>
  <c r="J324" i="7"/>
  <c r="H324" i="7"/>
  <c r="G324" i="7"/>
  <c r="I324" i="7" s="1"/>
  <c r="J323" i="7"/>
  <c r="H323" i="7"/>
  <c r="G323" i="7"/>
  <c r="I323" i="7" s="1"/>
  <c r="J322" i="7"/>
  <c r="H322" i="7"/>
  <c r="G322" i="7"/>
  <c r="I322" i="7" s="1"/>
  <c r="J321" i="7"/>
  <c r="H321" i="7"/>
  <c r="G321" i="7"/>
  <c r="I321" i="7" s="1"/>
  <c r="J320" i="7"/>
  <c r="H320" i="7"/>
  <c r="G320" i="7"/>
  <c r="I320" i="7" s="1"/>
  <c r="J319" i="7"/>
  <c r="H319" i="7"/>
  <c r="G319" i="7"/>
  <c r="I319" i="7" s="1"/>
  <c r="J318" i="7"/>
  <c r="H318" i="7"/>
  <c r="G318" i="7"/>
  <c r="I318" i="7" s="1"/>
  <c r="J317" i="7"/>
  <c r="H317" i="7"/>
  <c r="G317" i="7"/>
  <c r="I317" i="7" s="1"/>
  <c r="J316" i="7"/>
  <c r="H316" i="7"/>
  <c r="G316" i="7"/>
  <c r="I316" i="7" s="1"/>
  <c r="J315" i="7"/>
  <c r="H315" i="7"/>
  <c r="G315" i="7"/>
  <c r="I315" i="7" s="1"/>
  <c r="J314" i="7"/>
  <c r="H314" i="7"/>
  <c r="G314" i="7"/>
  <c r="I314" i="7" s="1"/>
  <c r="J313" i="7"/>
  <c r="H313" i="7"/>
  <c r="G313" i="7"/>
  <c r="I313" i="7" s="1"/>
  <c r="J312" i="7"/>
  <c r="H312" i="7"/>
  <c r="G312" i="7"/>
  <c r="I312" i="7" s="1"/>
  <c r="J311" i="7"/>
  <c r="H311" i="7"/>
  <c r="G311" i="7"/>
  <c r="I311" i="7" s="1"/>
  <c r="J310" i="7"/>
  <c r="H310" i="7"/>
  <c r="G310" i="7"/>
  <c r="I310" i="7" s="1"/>
  <c r="J309" i="7"/>
  <c r="H309" i="7"/>
  <c r="G309" i="7"/>
  <c r="I309" i="7" s="1"/>
  <c r="J308" i="7"/>
  <c r="H308" i="7"/>
  <c r="G308" i="7"/>
  <c r="I308" i="7" s="1"/>
  <c r="J307" i="7"/>
  <c r="H307" i="7"/>
  <c r="G307" i="7"/>
  <c r="I307" i="7" s="1"/>
  <c r="J306" i="7"/>
  <c r="H306" i="7"/>
  <c r="G306" i="7"/>
  <c r="I306" i="7" s="1"/>
  <c r="J305" i="7"/>
  <c r="H305" i="7"/>
  <c r="G305" i="7"/>
  <c r="I305" i="7" s="1"/>
  <c r="J304" i="7"/>
  <c r="H304" i="7"/>
  <c r="G304" i="7"/>
  <c r="I304" i="7" s="1"/>
  <c r="J303" i="7"/>
  <c r="H303" i="7"/>
  <c r="G303" i="7"/>
  <c r="I303" i="7" s="1"/>
  <c r="J302" i="7"/>
  <c r="H302" i="7"/>
  <c r="G302" i="7"/>
  <c r="I302" i="7" s="1"/>
  <c r="J301" i="7"/>
  <c r="H301" i="7"/>
  <c r="G301" i="7"/>
  <c r="I301" i="7" s="1"/>
  <c r="J300" i="7"/>
  <c r="H300" i="7"/>
  <c r="G300" i="7"/>
  <c r="I300" i="7" s="1"/>
  <c r="J299" i="7"/>
  <c r="H299" i="7"/>
  <c r="G299" i="7"/>
  <c r="I299" i="7" s="1"/>
  <c r="J298" i="7"/>
  <c r="H298" i="7"/>
  <c r="G298" i="7"/>
  <c r="I298" i="7" s="1"/>
  <c r="J297" i="7"/>
  <c r="H297" i="7"/>
  <c r="G297" i="7"/>
  <c r="I297" i="7" s="1"/>
  <c r="J296" i="7"/>
  <c r="H296" i="7"/>
  <c r="G296" i="7"/>
  <c r="I296" i="7" s="1"/>
  <c r="J295" i="7"/>
  <c r="H295" i="7"/>
  <c r="G295" i="7"/>
  <c r="I295" i="7" s="1"/>
  <c r="J294" i="7"/>
  <c r="H294" i="7"/>
  <c r="G294" i="7"/>
  <c r="I294" i="7" s="1"/>
  <c r="J293" i="7"/>
  <c r="H293" i="7"/>
  <c r="G293" i="7"/>
  <c r="I293" i="7" s="1"/>
  <c r="J292" i="7"/>
  <c r="H292" i="7"/>
  <c r="G292" i="7"/>
  <c r="I292" i="7" s="1"/>
  <c r="J291" i="7"/>
  <c r="H291" i="7"/>
  <c r="G291" i="7"/>
  <c r="I291" i="7" s="1"/>
  <c r="F290" i="7"/>
  <c r="J289" i="7"/>
  <c r="H289" i="7"/>
  <c r="G289" i="7"/>
  <c r="I289" i="7" s="1"/>
  <c r="J288" i="7"/>
  <c r="H288" i="7"/>
  <c r="G288" i="7"/>
  <c r="I288" i="7" s="1"/>
  <c r="J287" i="7"/>
  <c r="H287" i="7"/>
  <c r="G287" i="7"/>
  <c r="I287" i="7" s="1"/>
  <c r="J286" i="7"/>
  <c r="H286" i="7"/>
  <c r="G286" i="7"/>
  <c r="I286" i="7" s="1"/>
  <c r="J285" i="7"/>
  <c r="H285" i="7"/>
  <c r="G285" i="7"/>
  <c r="I285" i="7" s="1"/>
  <c r="J284" i="7"/>
  <c r="H284" i="7"/>
  <c r="G284" i="7"/>
  <c r="I284" i="7" s="1"/>
  <c r="J283" i="7"/>
  <c r="H283" i="7"/>
  <c r="G283" i="7"/>
  <c r="I283" i="7" s="1"/>
  <c r="J282" i="7"/>
  <c r="H282" i="7"/>
  <c r="G282" i="7"/>
  <c r="I282" i="7" s="1"/>
  <c r="J281" i="7"/>
  <c r="H281" i="7"/>
  <c r="G281" i="7"/>
  <c r="I281" i="7" s="1"/>
  <c r="J280" i="7"/>
  <c r="H280" i="7"/>
  <c r="G280" i="7"/>
  <c r="I280" i="7" s="1"/>
  <c r="J279" i="7"/>
  <c r="H279" i="7"/>
  <c r="G279" i="7"/>
  <c r="I279" i="7" s="1"/>
  <c r="J278" i="7"/>
  <c r="H278" i="7"/>
  <c r="G278" i="7"/>
  <c r="I278" i="7" s="1"/>
  <c r="J277" i="7"/>
  <c r="H277" i="7"/>
  <c r="G277" i="7"/>
  <c r="I277" i="7" s="1"/>
  <c r="J276" i="7"/>
  <c r="H276" i="7"/>
  <c r="G276" i="7"/>
  <c r="I276" i="7" s="1"/>
  <c r="J275" i="7"/>
  <c r="H275" i="7"/>
  <c r="G275" i="7"/>
  <c r="I275" i="7" s="1"/>
  <c r="J274" i="7"/>
  <c r="H274" i="7"/>
  <c r="G274" i="7"/>
  <c r="I274" i="7" s="1"/>
  <c r="J273" i="7"/>
  <c r="H273" i="7"/>
  <c r="G273" i="7"/>
  <c r="I273" i="7" s="1"/>
  <c r="J272" i="7"/>
  <c r="H272" i="7"/>
  <c r="G272" i="7"/>
  <c r="I272" i="7" s="1"/>
  <c r="J271" i="7"/>
  <c r="H271" i="7"/>
  <c r="G271" i="7"/>
  <c r="I271" i="7" s="1"/>
  <c r="J270" i="7"/>
  <c r="H270" i="7"/>
  <c r="G270" i="7"/>
  <c r="I270" i="7" s="1"/>
  <c r="J269" i="7"/>
  <c r="H269" i="7"/>
  <c r="G269" i="7"/>
  <c r="I269" i="7" s="1"/>
  <c r="J268" i="7"/>
  <c r="H268" i="7"/>
  <c r="G268" i="7"/>
  <c r="I268" i="7" s="1"/>
  <c r="J267" i="7"/>
  <c r="H267" i="7"/>
  <c r="G267" i="7"/>
  <c r="I267" i="7" s="1"/>
  <c r="J266" i="7"/>
  <c r="H266" i="7"/>
  <c r="G266" i="7"/>
  <c r="I266" i="7" s="1"/>
  <c r="J265" i="7"/>
  <c r="H265" i="7"/>
  <c r="G265" i="7"/>
  <c r="I265" i="7" s="1"/>
  <c r="J264" i="7"/>
  <c r="H264" i="7"/>
  <c r="G264" i="7"/>
  <c r="I264" i="7" s="1"/>
  <c r="J263" i="7"/>
  <c r="H263" i="7"/>
  <c r="G263" i="7"/>
  <c r="I263" i="7" s="1"/>
  <c r="J262" i="7"/>
  <c r="H262" i="7"/>
  <c r="G262" i="7"/>
  <c r="I262" i="7" s="1"/>
  <c r="J261" i="7"/>
  <c r="H261" i="7"/>
  <c r="G261" i="7"/>
  <c r="I261" i="7" s="1"/>
  <c r="J260" i="7"/>
  <c r="H260" i="7"/>
  <c r="G260" i="7"/>
  <c r="I260" i="7" s="1"/>
  <c r="J259" i="7"/>
  <c r="H259" i="7"/>
  <c r="G259" i="7"/>
  <c r="I259" i="7" s="1"/>
  <c r="F258" i="7"/>
  <c r="J257" i="7"/>
  <c r="H257" i="7"/>
  <c r="G257" i="7"/>
  <c r="I257" i="7" s="1"/>
  <c r="J256" i="7"/>
  <c r="H256" i="7"/>
  <c r="G256" i="7"/>
  <c r="I256" i="7" s="1"/>
  <c r="J255" i="7"/>
  <c r="H255" i="7"/>
  <c r="G255" i="7"/>
  <c r="I255" i="7" s="1"/>
  <c r="J254" i="7"/>
  <c r="H254" i="7"/>
  <c r="G254" i="7"/>
  <c r="I254" i="7" s="1"/>
  <c r="J253" i="7"/>
  <c r="H253" i="7"/>
  <c r="G253" i="7"/>
  <c r="I253" i="7" s="1"/>
  <c r="J252" i="7"/>
  <c r="H252" i="7"/>
  <c r="G252" i="7"/>
  <c r="I252" i="7" s="1"/>
  <c r="J251" i="7"/>
  <c r="H251" i="7"/>
  <c r="G251" i="7"/>
  <c r="I251" i="7" s="1"/>
  <c r="J250" i="7"/>
  <c r="H250" i="7"/>
  <c r="G250" i="7"/>
  <c r="I250" i="7" s="1"/>
  <c r="J249" i="7"/>
  <c r="H249" i="7"/>
  <c r="G249" i="7"/>
  <c r="I249" i="7" s="1"/>
  <c r="J248" i="7"/>
  <c r="H248" i="7"/>
  <c r="G248" i="7"/>
  <c r="I248" i="7" s="1"/>
  <c r="J247" i="7"/>
  <c r="H247" i="7"/>
  <c r="G247" i="7"/>
  <c r="I247" i="7" s="1"/>
  <c r="J246" i="7"/>
  <c r="H246" i="7"/>
  <c r="G246" i="7"/>
  <c r="I246" i="7" s="1"/>
  <c r="J245" i="7"/>
  <c r="H245" i="7"/>
  <c r="G245" i="7"/>
  <c r="I245" i="7" s="1"/>
  <c r="J244" i="7"/>
  <c r="H244" i="7"/>
  <c r="G244" i="7"/>
  <c r="I244" i="7" s="1"/>
  <c r="J243" i="7"/>
  <c r="H243" i="7"/>
  <c r="G243" i="7"/>
  <c r="I243" i="7" s="1"/>
  <c r="J242" i="7"/>
  <c r="H242" i="7"/>
  <c r="G242" i="7"/>
  <c r="I242" i="7" s="1"/>
  <c r="J241" i="7"/>
  <c r="H241" i="7"/>
  <c r="G241" i="7"/>
  <c r="I241" i="7" s="1"/>
  <c r="J240" i="7"/>
  <c r="H240" i="7"/>
  <c r="G240" i="7"/>
  <c r="I240" i="7" s="1"/>
  <c r="J239" i="7"/>
  <c r="H239" i="7"/>
  <c r="G239" i="7"/>
  <c r="I239" i="7" s="1"/>
  <c r="J238" i="7"/>
  <c r="H238" i="7"/>
  <c r="G238" i="7"/>
  <c r="I238" i="7" s="1"/>
  <c r="F237" i="7"/>
  <c r="J236" i="7"/>
  <c r="H236" i="7"/>
  <c r="G236" i="7"/>
  <c r="I236" i="7" s="1"/>
  <c r="J235" i="7"/>
  <c r="H235" i="7"/>
  <c r="G235" i="7"/>
  <c r="I235" i="7" s="1"/>
  <c r="J234" i="7"/>
  <c r="H234" i="7"/>
  <c r="G234" i="7"/>
  <c r="I234" i="7" s="1"/>
  <c r="J233" i="7"/>
  <c r="H233" i="7"/>
  <c r="G233" i="7"/>
  <c r="I233" i="7" s="1"/>
  <c r="J232" i="7"/>
  <c r="H232" i="7"/>
  <c r="G232" i="7"/>
  <c r="I232" i="7" s="1"/>
  <c r="J231" i="7"/>
  <c r="H231" i="7"/>
  <c r="G231" i="7"/>
  <c r="I231" i="7" s="1"/>
  <c r="J230" i="7"/>
  <c r="H230" i="7"/>
  <c r="G230" i="7"/>
  <c r="I230" i="7" s="1"/>
  <c r="J229" i="7"/>
  <c r="H229" i="7"/>
  <c r="G229" i="7"/>
  <c r="I229" i="7" s="1"/>
  <c r="J228" i="7"/>
  <c r="H228" i="7"/>
  <c r="G228" i="7"/>
  <c r="I228" i="7" s="1"/>
  <c r="J227" i="7"/>
  <c r="H227" i="7"/>
  <c r="G227" i="7"/>
  <c r="I227" i="7" s="1"/>
  <c r="J226" i="7"/>
  <c r="H226" i="7"/>
  <c r="G226" i="7"/>
  <c r="I226" i="7" s="1"/>
  <c r="J225" i="7"/>
  <c r="H225" i="7"/>
  <c r="G225" i="7"/>
  <c r="I225" i="7" s="1"/>
  <c r="J224" i="7"/>
  <c r="H224" i="7"/>
  <c r="G224" i="7"/>
  <c r="I224" i="7" s="1"/>
  <c r="J223" i="7"/>
  <c r="H223" i="7"/>
  <c r="G223" i="7"/>
  <c r="I223" i="7" s="1"/>
  <c r="J222" i="7"/>
  <c r="H222" i="7"/>
  <c r="G222" i="7"/>
  <c r="I222" i="7" s="1"/>
  <c r="J221" i="7"/>
  <c r="H221" i="7"/>
  <c r="G221" i="7"/>
  <c r="I221" i="7" s="1"/>
  <c r="J220" i="7"/>
  <c r="H220" i="7"/>
  <c r="G220" i="7"/>
  <c r="I220" i="7" s="1"/>
  <c r="J219" i="7"/>
  <c r="H219" i="7"/>
  <c r="G219" i="7"/>
  <c r="I219" i="7" s="1"/>
  <c r="J218" i="7"/>
  <c r="H218" i="7"/>
  <c r="G218" i="7"/>
  <c r="I218" i="7" s="1"/>
  <c r="J217" i="7"/>
  <c r="H217" i="7"/>
  <c r="G217" i="7"/>
  <c r="I217" i="7" s="1"/>
  <c r="J216" i="7"/>
  <c r="H216" i="7"/>
  <c r="G216" i="7"/>
  <c r="I216" i="7" s="1"/>
  <c r="J215" i="7"/>
  <c r="H215" i="7"/>
  <c r="G215" i="7"/>
  <c r="I215" i="7" s="1"/>
  <c r="J214" i="7"/>
  <c r="H214" i="7"/>
  <c r="G214" i="7"/>
  <c r="I214" i="7" s="1"/>
  <c r="J213" i="7"/>
  <c r="H213" i="7"/>
  <c r="G213" i="7"/>
  <c r="I213" i="7" s="1"/>
  <c r="J212" i="7"/>
  <c r="H212" i="7"/>
  <c r="G212" i="7"/>
  <c r="I212" i="7" s="1"/>
  <c r="J211" i="7"/>
  <c r="H211" i="7"/>
  <c r="G211" i="7"/>
  <c r="I211" i="7" s="1"/>
  <c r="J210" i="7"/>
  <c r="H210" i="7"/>
  <c r="G210" i="7"/>
  <c r="I210" i="7" s="1"/>
  <c r="F209" i="7"/>
  <c r="J208" i="7"/>
  <c r="H208" i="7"/>
  <c r="G208" i="7"/>
  <c r="I208" i="7" s="1"/>
  <c r="J207" i="7"/>
  <c r="H207" i="7"/>
  <c r="G207" i="7"/>
  <c r="I207" i="7" s="1"/>
  <c r="J206" i="7"/>
  <c r="H206" i="7"/>
  <c r="G206" i="7"/>
  <c r="I206" i="7" s="1"/>
  <c r="F205" i="7"/>
  <c r="J204" i="7"/>
  <c r="H204" i="7"/>
  <c r="G204" i="7"/>
  <c r="I204" i="7" s="1"/>
  <c r="J203" i="7"/>
  <c r="H203" i="7"/>
  <c r="G203" i="7"/>
  <c r="I203" i="7" s="1"/>
  <c r="J202" i="7"/>
  <c r="H202" i="7"/>
  <c r="G202" i="7"/>
  <c r="I202" i="7" s="1"/>
  <c r="J201" i="7"/>
  <c r="H201" i="7"/>
  <c r="G201" i="7"/>
  <c r="I201" i="7" s="1"/>
  <c r="F200" i="7"/>
  <c r="J199" i="7"/>
  <c r="H199" i="7"/>
  <c r="G199" i="7"/>
  <c r="I199" i="7" s="1"/>
  <c r="J198" i="7"/>
  <c r="H198" i="7"/>
  <c r="G198" i="7"/>
  <c r="I198" i="7" s="1"/>
  <c r="J197" i="7"/>
  <c r="H197" i="7"/>
  <c r="G197" i="7"/>
  <c r="I197" i="7" s="1"/>
  <c r="J196" i="7"/>
  <c r="H196" i="7"/>
  <c r="G196" i="7"/>
  <c r="I196" i="7" s="1"/>
  <c r="J195" i="7"/>
  <c r="H195" i="7"/>
  <c r="G195" i="7"/>
  <c r="I195" i="7" s="1"/>
  <c r="J194" i="7"/>
  <c r="H194" i="7"/>
  <c r="G194" i="7"/>
  <c r="I194" i="7" s="1"/>
  <c r="J193" i="7"/>
  <c r="H193" i="7"/>
  <c r="G193" i="7"/>
  <c r="I193" i="7" s="1"/>
  <c r="J192" i="7"/>
  <c r="H192" i="7"/>
  <c r="G192" i="7"/>
  <c r="I192" i="7" s="1"/>
  <c r="F191" i="7"/>
  <c r="J190" i="7"/>
  <c r="H190" i="7"/>
  <c r="G190" i="7"/>
  <c r="I190" i="7" s="1"/>
  <c r="J189" i="7"/>
  <c r="H189" i="7"/>
  <c r="G189" i="7"/>
  <c r="I189" i="7" s="1"/>
  <c r="J188" i="7"/>
  <c r="H188" i="7"/>
  <c r="G188" i="7"/>
  <c r="I188" i="7" s="1"/>
  <c r="J187" i="7"/>
  <c r="H187" i="7"/>
  <c r="G187" i="7"/>
  <c r="I187" i="7" s="1"/>
  <c r="F186" i="7"/>
  <c r="J185" i="7"/>
  <c r="H185" i="7"/>
  <c r="G185" i="7"/>
  <c r="I185" i="7" s="1"/>
  <c r="J184" i="7"/>
  <c r="H184" i="7"/>
  <c r="G184" i="7"/>
  <c r="I184" i="7" s="1"/>
  <c r="J183" i="7"/>
  <c r="H183" i="7"/>
  <c r="G183" i="7"/>
  <c r="I183" i="7" s="1"/>
  <c r="J182" i="7"/>
  <c r="H182" i="7"/>
  <c r="G182" i="7"/>
  <c r="I182" i="7" s="1"/>
  <c r="J181" i="7"/>
  <c r="H181" i="7"/>
  <c r="G181" i="7"/>
  <c r="I181" i="7" s="1"/>
  <c r="J180" i="7"/>
  <c r="H180" i="7"/>
  <c r="G180" i="7"/>
  <c r="I180" i="7" s="1"/>
  <c r="J179" i="7"/>
  <c r="H179" i="7"/>
  <c r="G179" i="7"/>
  <c r="I179" i="7" s="1"/>
  <c r="J178" i="7"/>
  <c r="H178" i="7"/>
  <c r="G178" i="7"/>
  <c r="I178" i="7" s="1"/>
  <c r="J177" i="7"/>
  <c r="H177" i="7"/>
  <c r="G177" i="7"/>
  <c r="I177" i="7" s="1"/>
  <c r="J176" i="7"/>
  <c r="H176" i="7"/>
  <c r="G176" i="7"/>
  <c r="I176" i="7" s="1"/>
  <c r="J175" i="7"/>
  <c r="H175" i="7"/>
  <c r="G175" i="7"/>
  <c r="I175" i="7" s="1"/>
  <c r="F174" i="7"/>
  <c r="J172" i="7"/>
  <c r="H172" i="7"/>
  <c r="G172" i="7"/>
  <c r="J171" i="7"/>
  <c r="H171" i="7"/>
  <c r="G171" i="7"/>
  <c r="I171" i="7" s="1"/>
  <c r="J170" i="7"/>
  <c r="J169" i="7" s="1"/>
  <c r="H170" i="7"/>
  <c r="G170" i="7"/>
  <c r="I170" i="7" s="1"/>
  <c r="F169" i="7"/>
  <c r="J168" i="7"/>
  <c r="H168" i="7"/>
  <c r="G168" i="7"/>
  <c r="I168" i="7" s="1"/>
  <c r="J167" i="7"/>
  <c r="H167" i="7"/>
  <c r="G167" i="7"/>
  <c r="I167" i="7" s="1"/>
  <c r="J166" i="7"/>
  <c r="H166" i="7"/>
  <c r="G166" i="7"/>
  <c r="I166" i="7" s="1"/>
  <c r="J165" i="7"/>
  <c r="H165" i="7"/>
  <c r="G165" i="7"/>
  <c r="I165" i="7" s="1"/>
  <c r="J164" i="7"/>
  <c r="H164" i="7"/>
  <c r="G164" i="7"/>
  <c r="I164" i="7" s="1"/>
  <c r="F163" i="7"/>
  <c r="J162" i="7"/>
  <c r="H162" i="7"/>
  <c r="G162" i="7"/>
  <c r="I162" i="7" s="1"/>
  <c r="J161" i="7"/>
  <c r="H161" i="7"/>
  <c r="G161" i="7"/>
  <c r="I161" i="7" s="1"/>
  <c r="J160" i="7"/>
  <c r="H160" i="7"/>
  <c r="G160" i="7"/>
  <c r="I160" i="7" s="1"/>
  <c r="J159" i="7"/>
  <c r="H159" i="7"/>
  <c r="G159" i="7"/>
  <c r="I159" i="7" s="1"/>
  <c r="F158" i="7"/>
  <c r="J157" i="7"/>
  <c r="H157" i="7"/>
  <c r="G157" i="7"/>
  <c r="I157" i="7" s="1"/>
  <c r="J156" i="7"/>
  <c r="H156" i="7"/>
  <c r="G156" i="7"/>
  <c r="I156" i="7" s="1"/>
  <c r="J155" i="7"/>
  <c r="H155" i="7"/>
  <c r="G155" i="7"/>
  <c r="I155" i="7" s="1"/>
  <c r="F154" i="7"/>
  <c r="J153" i="7"/>
  <c r="H153" i="7"/>
  <c r="G153" i="7"/>
  <c r="I153" i="7" s="1"/>
  <c r="J152" i="7"/>
  <c r="H152" i="7"/>
  <c r="G152" i="7"/>
  <c r="I152" i="7" s="1"/>
  <c r="I151" i="7" s="1"/>
  <c r="F151" i="7"/>
  <c r="J150" i="7"/>
  <c r="J149" i="7" s="1"/>
  <c r="H150" i="7"/>
  <c r="H149" i="7" s="1"/>
  <c r="G150" i="7"/>
  <c r="I150" i="7" s="1"/>
  <c r="I149" i="7" s="1"/>
  <c r="F149" i="7"/>
  <c r="J148" i="7"/>
  <c r="H148" i="7"/>
  <c r="G148" i="7"/>
  <c r="I148" i="7" s="1"/>
  <c r="J147" i="7"/>
  <c r="H147" i="7"/>
  <c r="G147" i="7"/>
  <c r="I147" i="7" s="1"/>
  <c r="F146" i="7"/>
  <c r="J145" i="7"/>
  <c r="H145" i="7"/>
  <c r="G145" i="7"/>
  <c r="I145" i="7" s="1"/>
  <c r="J144" i="7"/>
  <c r="H144" i="7"/>
  <c r="H143" i="7" s="1"/>
  <c r="G144" i="7"/>
  <c r="I144" i="7" s="1"/>
  <c r="F143" i="7"/>
  <c r="J141" i="7"/>
  <c r="H141" i="7"/>
  <c r="G141" i="7"/>
  <c r="I141" i="7" s="1"/>
  <c r="J140" i="7"/>
  <c r="H140" i="7"/>
  <c r="G140" i="7"/>
  <c r="I140" i="7" s="1"/>
  <c r="J139" i="7"/>
  <c r="H139" i="7"/>
  <c r="G139" i="7"/>
  <c r="I139" i="7" s="1"/>
  <c r="J138" i="7"/>
  <c r="H138" i="7"/>
  <c r="G138" i="7"/>
  <c r="I138" i="7" s="1"/>
  <c r="J137" i="7"/>
  <c r="H137" i="7"/>
  <c r="G137" i="7"/>
  <c r="I137" i="7" s="1"/>
  <c r="J136" i="7"/>
  <c r="H136" i="7"/>
  <c r="G136" i="7"/>
  <c r="I136" i="7" s="1"/>
  <c r="F135" i="7"/>
  <c r="J134" i="7"/>
  <c r="H134" i="7"/>
  <c r="G134" i="7"/>
  <c r="I134" i="7" s="1"/>
  <c r="J133" i="7"/>
  <c r="H133" i="7"/>
  <c r="G133" i="7"/>
  <c r="I133" i="7" s="1"/>
  <c r="F132" i="7"/>
  <c r="J131" i="7"/>
  <c r="H131" i="7"/>
  <c r="G131" i="7"/>
  <c r="I131" i="7" s="1"/>
  <c r="J130" i="7"/>
  <c r="J129" i="7" s="1"/>
  <c r="H130" i="7"/>
  <c r="G130" i="7"/>
  <c r="I130" i="7" s="1"/>
  <c r="F129" i="7"/>
  <c r="J128" i="7"/>
  <c r="H128" i="7"/>
  <c r="G128" i="7"/>
  <c r="I128" i="7" s="1"/>
  <c r="J127" i="7"/>
  <c r="H127" i="7"/>
  <c r="G127" i="7"/>
  <c r="I127" i="7" s="1"/>
  <c r="J126" i="7"/>
  <c r="H126" i="7"/>
  <c r="G126" i="7"/>
  <c r="I126" i="7" s="1"/>
  <c r="J125" i="7"/>
  <c r="H125" i="7"/>
  <c r="G125" i="7"/>
  <c r="I125" i="7" s="1"/>
  <c r="J124" i="7"/>
  <c r="H124" i="7"/>
  <c r="G124" i="7"/>
  <c r="I124" i="7" s="1"/>
  <c r="J123" i="7"/>
  <c r="H123" i="7"/>
  <c r="G123" i="7"/>
  <c r="I123" i="7" s="1"/>
  <c r="J122" i="7"/>
  <c r="H122" i="7"/>
  <c r="G122" i="7"/>
  <c r="I122" i="7" s="1"/>
  <c r="F121" i="7"/>
  <c r="H119" i="7"/>
  <c r="J118" i="7"/>
  <c r="H118" i="7"/>
  <c r="G118" i="7"/>
  <c r="I118" i="7" s="1"/>
  <c r="F117" i="7"/>
  <c r="J116" i="7"/>
  <c r="H116" i="7"/>
  <c r="G116" i="7"/>
  <c r="I116" i="7" s="1"/>
  <c r="J115" i="7"/>
  <c r="H115" i="7"/>
  <c r="F114" i="7"/>
  <c r="J113" i="7"/>
  <c r="H113" i="7"/>
  <c r="J112" i="7"/>
  <c r="J110" i="7" s="1"/>
  <c r="H112" i="7"/>
  <c r="G112" i="7"/>
  <c r="I112" i="7" s="1"/>
  <c r="J111" i="7"/>
  <c r="H111" i="7"/>
  <c r="G111" i="7"/>
  <c r="I111" i="7" s="1"/>
  <c r="F110" i="7"/>
  <c r="J109" i="7"/>
  <c r="H109" i="7"/>
  <c r="G109" i="7"/>
  <c r="I109" i="7" s="1"/>
  <c r="H108" i="7"/>
  <c r="G108" i="7"/>
  <c r="I108" i="7" s="1"/>
  <c r="F107" i="7"/>
  <c r="J106" i="7"/>
  <c r="H106" i="7"/>
  <c r="G106" i="7"/>
  <c r="I106" i="7" s="1"/>
  <c r="J105" i="7"/>
  <c r="H105" i="7"/>
  <c r="G105" i="7"/>
  <c r="I105" i="7" s="1"/>
  <c r="J104" i="7"/>
  <c r="H104" i="7"/>
  <c r="G104" i="7"/>
  <c r="I104" i="7" s="1"/>
  <c r="H103" i="7"/>
  <c r="J102" i="7"/>
  <c r="H102" i="7"/>
  <c r="G102" i="7"/>
  <c r="I102" i="7" s="1"/>
  <c r="J101" i="7"/>
  <c r="H101" i="7"/>
  <c r="G101" i="7"/>
  <c r="I101" i="7" s="1"/>
  <c r="J100" i="7"/>
  <c r="H100" i="7"/>
  <c r="G100" i="7"/>
  <c r="I100" i="7" s="1"/>
  <c r="H99" i="7"/>
  <c r="F98" i="7"/>
  <c r="H97" i="7"/>
  <c r="G97" i="7"/>
  <c r="J96" i="7"/>
  <c r="H96" i="7"/>
  <c r="G96" i="7"/>
  <c r="I96" i="7" s="1"/>
  <c r="J95" i="7"/>
  <c r="H95" i="7"/>
  <c r="G95" i="7"/>
  <c r="I95" i="7" s="1"/>
  <c r="F94" i="7"/>
  <c r="J93" i="7"/>
  <c r="J92" i="7" s="1"/>
  <c r="H93" i="7"/>
  <c r="H92" i="7" s="1"/>
  <c r="G93" i="7"/>
  <c r="I93" i="7" s="1"/>
  <c r="I92" i="7" s="1"/>
  <c r="F92" i="7"/>
  <c r="J90" i="7"/>
  <c r="H90" i="7"/>
  <c r="J89" i="7"/>
  <c r="H89" i="7"/>
  <c r="G89" i="7"/>
  <c r="I89" i="7" s="1"/>
  <c r="J88" i="7"/>
  <c r="H88" i="7"/>
  <c r="G88" i="7"/>
  <c r="I88" i="7" s="1"/>
  <c r="J87" i="7"/>
  <c r="H87" i="7"/>
  <c r="G87" i="7"/>
  <c r="I87" i="7" s="1"/>
  <c r="J86" i="7"/>
  <c r="H86" i="7"/>
  <c r="G86" i="7"/>
  <c r="I86" i="7" s="1"/>
  <c r="H85" i="7"/>
  <c r="J84" i="7"/>
  <c r="H84" i="7"/>
  <c r="G84" i="7"/>
  <c r="I84" i="7" s="1"/>
  <c r="J83" i="7"/>
  <c r="H83" i="7"/>
  <c r="G83" i="7"/>
  <c r="I83" i="7" s="1"/>
  <c r="F82" i="7"/>
  <c r="J81" i="7"/>
  <c r="J80" i="7" s="1"/>
  <c r="H81" i="7"/>
  <c r="H80" i="7" s="1"/>
  <c r="G81" i="7"/>
  <c r="I81" i="7" s="1"/>
  <c r="I80" i="7" s="1"/>
  <c r="F80" i="7"/>
  <c r="J79" i="7"/>
  <c r="H79" i="7"/>
  <c r="G79" i="7"/>
  <c r="I79" i="7" s="1"/>
  <c r="J78" i="7"/>
  <c r="H78" i="7"/>
  <c r="G78" i="7"/>
  <c r="I78" i="7" s="1"/>
  <c r="J77" i="7"/>
  <c r="H77" i="7"/>
  <c r="G77" i="7"/>
  <c r="I77" i="7" s="1"/>
  <c r="F76" i="7"/>
  <c r="H74" i="7"/>
  <c r="J73" i="7"/>
  <c r="H73" i="7"/>
  <c r="G73" i="7"/>
  <c r="F72" i="7"/>
  <c r="J71" i="7"/>
  <c r="H71" i="7"/>
  <c r="G71" i="7"/>
  <c r="I71" i="7" s="1"/>
  <c r="J70" i="7"/>
  <c r="H70" i="7"/>
  <c r="G70" i="7"/>
  <c r="I70" i="7" s="1"/>
  <c r="J69" i="7"/>
  <c r="H69" i="7"/>
  <c r="J68" i="7"/>
  <c r="H68" i="7"/>
  <c r="G68" i="7"/>
  <c r="I68" i="7" s="1"/>
  <c r="J67" i="7"/>
  <c r="H67" i="7"/>
  <c r="G67" i="7"/>
  <c r="I67" i="7" s="1"/>
  <c r="J66" i="7"/>
  <c r="H66" i="7"/>
  <c r="G66" i="7"/>
  <c r="I66" i="7" s="1"/>
  <c r="F65" i="7"/>
  <c r="H64" i="7"/>
  <c r="J63" i="7"/>
  <c r="H63" i="7"/>
  <c r="G63" i="7"/>
  <c r="I63" i="7" s="1"/>
  <c r="J62" i="7"/>
  <c r="H62" i="7"/>
  <c r="G62" i="7"/>
  <c r="I62" i="7" s="1"/>
  <c r="J61" i="7"/>
  <c r="H61" i="7"/>
  <c r="G61" i="7"/>
  <c r="I61" i="7" s="1"/>
  <c r="H60" i="7"/>
  <c r="J59" i="7"/>
  <c r="H59" i="7"/>
  <c r="G59" i="7"/>
  <c r="I59" i="7" s="1"/>
  <c r="F58" i="7"/>
  <c r="J57" i="7"/>
  <c r="H57" i="7"/>
  <c r="G57" i="7"/>
  <c r="I57" i="7" s="1"/>
  <c r="J56" i="7"/>
  <c r="H56" i="7"/>
  <c r="G56" i="7"/>
  <c r="I56" i="7" s="1"/>
  <c r="H55" i="7"/>
  <c r="G55" i="7"/>
  <c r="I55" i="7" s="1"/>
  <c r="J54" i="7"/>
  <c r="H54" i="7"/>
  <c r="G54" i="7"/>
  <c r="I54" i="7" s="1"/>
  <c r="J53" i="7"/>
  <c r="H53" i="7"/>
  <c r="G53" i="7"/>
  <c r="I53" i="7" s="1"/>
  <c r="J52" i="7"/>
  <c r="H52" i="7"/>
  <c r="G52" i="7"/>
  <c r="I52" i="7" s="1"/>
  <c r="F51" i="7"/>
  <c r="J49" i="7"/>
  <c r="H49" i="7"/>
  <c r="G49" i="7"/>
  <c r="I49" i="7" s="1"/>
  <c r="H48" i="7"/>
  <c r="G48" i="7"/>
  <c r="I48" i="7" s="1"/>
  <c r="F47" i="7"/>
  <c r="F46" i="7" s="1"/>
  <c r="H45" i="7"/>
  <c r="J44" i="7"/>
  <c r="H44" i="7"/>
  <c r="G44" i="7"/>
  <c r="I44" i="7" s="1"/>
  <c r="J43" i="7"/>
  <c r="H43" i="7"/>
  <c r="G43" i="7"/>
  <c r="I43" i="7" s="1"/>
  <c r="J42" i="7"/>
  <c r="H42" i="7"/>
  <c r="G42" i="7"/>
  <c r="I42" i="7" s="1"/>
  <c r="H41" i="7"/>
  <c r="J40" i="7"/>
  <c r="H40" i="7"/>
  <c r="G40" i="7"/>
  <c r="I40" i="7" s="1"/>
  <c r="J39" i="7"/>
  <c r="H39" i="7"/>
  <c r="G39" i="7"/>
  <c r="I39" i="7" s="1"/>
  <c r="J38" i="7"/>
  <c r="H38" i="7"/>
  <c r="G38" i="7"/>
  <c r="I38" i="7" s="1"/>
  <c r="H37" i="7"/>
  <c r="J36" i="7"/>
  <c r="H36" i="7"/>
  <c r="G36" i="7"/>
  <c r="I36" i="7" s="1"/>
  <c r="J35" i="7"/>
  <c r="H35" i="7"/>
  <c r="G35" i="7"/>
  <c r="I35" i="7" s="1"/>
  <c r="J34" i="7"/>
  <c r="H34" i="7"/>
  <c r="G34" i="7"/>
  <c r="I34" i="7" s="1"/>
  <c r="H33" i="7"/>
  <c r="J32" i="7"/>
  <c r="H32" i="7"/>
  <c r="G32" i="7"/>
  <c r="I32" i="7" s="1"/>
  <c r="J31" i="7"/>
  <c r="H31" i="7"/>
  <c r="G31" i="7"/>
  <c r="I31" i="7" s="1"/>
  <c r="J30" i="7"/>
  <c r="H30" i="7"/>
  <c r="G30" i="7"/>
  <c r="I30" i="7" s="1"/>
  <c r="H29" i="7"/>
  <c r="J28" i="7"/>
  <c r="H28" i="7"/>
  <c r="G28" i="7"/>
  <c r="I28" i="7" s="1"/>
  <c r="J27" i="7"/>
  <c r="H27" i="7"/>
  <c r="G27" i="7"/>
  <c r="I27" i="7" s="1"/>
  <c r="J26" i="7"/>
  <c r="H26" i="7"/>
  <c r="G26" i="7"/>
  <c r="I26" i="7" s="1"/>
  <c r="H25" i="7"/>
  <c r="J24" i="7"/>
  <c r="H24" i="7"/>
  <c r="G24" i="7"/>
  <c r="I24" i="7" s="1"/>
  <c r="J23" i="7"/>
  <c r="H23" i="7"/>
  <c r="G23" i="7"/>
  <c r="I23" i="7" s="1"/>
  <c r="J22" i="7"/>
  <c r="H22" i="7"/>
  <c r="G22" i="7"/>
  <c r="I22" i="7" s="1"/>
  <c r="H21" i="7"/>
  <c r="F20" i="7"/>
  <c r="J19" i="7"/>
  <c r="H19" i="7"/>
  <c r="G19" i="7"/>
  <c r="I19" i="7" s="1"/>
  <c r="J18" i="7"/>
  <c r="H18" i="7"/>
  <c r="G18" i="7"/>
  <c r="I18" i="7" s="1"/>
  <c r="J17" i="7"/>
  <c r="H17" i="7"/>
  <c r="G17" i="7"/>
  <c r="I17" i="7" s="1"/>
  <c r="H16" i="7"/>
  <c r="G16" i="7"/>
  <c r="I16" i="7" s="1"/>
  <c r="J15" i="7"/>
  <c r="H15" i="7"/>
  <c r="G15" i="7"/>
  <c r="I15" i="7" s="1"/>
  <c r="J14" i="7"/>
  <c r="H14" i="7"/>
  <c r="G14" i="7"/>
  <c r="I14" i="7" s="1"/>
  <c r="J13" i="7"/>
  <c r="H13" i="7"/>
  <c r="H12" i="7" s="1"/>
  <c r="G13" i="7"/>
  <c r="I13" i="7" s="1"/>
  <c r="F12" i="7"/>
  <c r="F426" i="5"/>
  <c r="J426" i="5" s="1"/>
  <c r="J425" i="5" s="1"/>
  <c r="J424" i="5"/>
  <c r="H424" i="5"/>
  <c r="G424" i="5"/>
  <c r="I424" i="5" s="1"/>
  <c r="H423" i="5"/>
  <c r="G423" i="5"/>
  <c r="I423" i="5" s="1"/>
  <c r="E423" i="5"/>
  <c r="J423" i="5" s="1"/>
  <c r="H422" i="5"/>
  <c r="E422" i="5"/>
  <c r="J422" i="5" s="1"/>
  <c r="F421" i="5"/>
  <c r="H420" i="5"/>
  <c r="E420" i="5"/>
  <c r="J420" i="5" s="1"/>
  <c r="H419" i="5"/>
  <c r="E419" i="5"/>
  <c r="J419" i="5" s="1"/>
  <c r="H418" i="5"/>
  <c r="E418" i="5"/>
  <c r="J418" i="5" s="1"/>
  <c r="H417" i="5"/>
  <c r="E417" i="5"/>
  <c r="H416" i="5"/>
  <c r="E416" i="5"/>
  <c r="J416" i="5" s="1"/>
  <c r="H415" i="5"/>
  <c r="G415" i="5"/>
  <c r="E415" i="5"/>
  <c r="J415" i="5" s="1"/>
  <c r="F414" i="5"/>
  <c r="J413" i="5"/>
  <c r="J411" i="5" s="1"/>
  <c r="H413" i="5"/>
  <c r="G413" i="5"/>
  <c r="J412" i="5"/>
  <c r="I412" i="5"/>
  <c r="H412" i="5"/>
  <c r="H411" i="5" s="1"/>
  <c r="G412" i="5"/>
  <c r="F411" i="5"/>
  <c r="F410" i="5" s="1"/>
  <c r="H409" i="5"/>
  <c r="E409" i="5"/>
  <c r="J409" i="5" s="1"/>
  <c r="H408" i="5"/>
  <c r="G408" i="5"/>
  <c r="I408" i="5" s="1"/>
  <c r="H407" i="5"/>
  <c r="G407" i="5"/>
  <c r="I407" i="5" s="1"/>
  <c r="H406" i="5"/>
  <c r="G406" i="5"/>
  <c r="I406" i="5" s="1"/>
  <c r="H405" i="5"/>
  <c r="G405" i="5"/>
  <c r="I405" i="5" s="1"/>
  <c r="H404" i="5"/>
  <c r="G404" i="5"/>
  <c r="I404" i="5" s="1"/>
  <c r="H403" i="5"/>
  <c r="E403" i="5"/>
  <c r="G403" i="5" s="1"/>
  <c r="I403" i="5" s="1"/>
  <c r="H402" i="5"/>
  <c r="E402" i="5"/>
  <c r="J402" i="5" s="1"/>
  <c r="H401" i="5"/>
  <c r="E401" i="5"/>
  <c r="G401" i="5" s="1"/>
  <c r="I401" i="5" s="1"/>
  <c r="H400" i="5"/>
  <c r="E400" i="5"/>
  <c r="J400" i="5" s="1"/>
  <c r="F399" i="5"/>
  <c r="F398" i="5" s="1"/>
  <c r="H397" i="5"/>
  <c r="E397" i="5"/>
  <c r="G397" i="5" s="1"/>
  <c r="I397" i="5" s="1"/>
  <c r="H396" i="5"/>
  <c r="E396" i="5"/>
  <c r="J396" i="5" s="1"/>
  <c r="H395" i="5"/>
  <c r="E395" i="5"/>
  <c r="G395" i="5" s="1"/>
  <c r="I395" i="5" s="1"/>
  <c r="H394" i="5"/>
  <c r="E394" i="5"/>
  <c r="J394" i="5" s="1"/>
  <c r="H393" i="5"/>
  <c r="E393" i="5"/>
  <c r="H392" i="5"/>
  <c r="E392" i="5"/>
  <c r="J392" i="5" s="1"/>
  <c r="F391" i="5"/>
  <c r="H390" i="5"/>
  <c r="E390" i="5"/>
  <c r="J390" i="5" s="1"/>
  <c r="H389" i="5"/>
  <c r="E389" i="5"/>
  <c r="H388" i="5"/>
  <c r="E388" i="5"/>
  <c r="J388" i="5" s="1"/>
  <c r="H387" i="5"/>
  <c r="E387" i="5"/>
  <c r="G387" i="5" s="1"/>
  <c r="I387" i="5" s="1"/>
  <c r="H386" i="5"/>
  <c r="E386" i="5"/>
  <c r="J386" i="5" s="1"/>
  <c r="H385" i="5"/>
  <c r="E385" i="5"/>
  <c r="G385" i="5" s="1"/>
  <c r="I385" i="5" s="1"/>
  <c r="H384" i="5"/>
  <c r="E384" i="5"/>
  <c r="J384" i="5" s="1"/>
  <c r="J383" i="5"/>
  <c r="H383" i="5"/>
  <c r="E383" i="5"/>
  <c r="G383" i="5" s="1"/>
  <c r="I383" i="5" s="1"/>
  <c r="H382" i="5"/>
  <c r="E382" i="5"/>
  <c r="J382" i="5" s="1"/>
  <c r="H381" i="5"/>
  <c r="E381" i="5"/>
  <c r="G381" i="5" s="1"/>
  <c r="I381" i="5" s="1"/>
  <c r="H380" i="5"/>
  <c r="E380" i="5"/>
  <c r="J380" i="5" s="1"/>
  <c r="H379" i="5"/>
  <c r="E379" i="5"/>
  <c r="G379" i="5" s="1"/>
  <c r="I379" i="5" s="1"/>
  <c r="H378" i="5"/>
  <c r="E378" i="5"/>
  <c r="J378" i="5" s="1"/>
  <c r="H377" i="5"/>
  <c r="E377" i="5"/>
  <c r="G377" i="5" s="1"/>
  <c r="F376" i="5"/>
  <c r="H375" i="5"/>
  <c r="E375" i="5"/>
  <c r="G375" i="5" s="1"/>
  <c r="I375" i="5" s="1"/>
  <c r="H374" i="5"/>
  <c r="E374" i="5"/>
  <c r="J374" i="5" s="1"/>
  <c r="H373" i="5"/>
  <c r="E373" i="5"/>
  <c r="G373" i="5" s="1"/>
  <c r="I373" i="5" s="1"/>
  <c r="H372" i="5"/>
  <c r="E372" i="5"/>
  <c r="J372" i="5" s="1"/>
  <c r="H371" i="5"/>
  <c r="E371" i="5"/>
  <c r="G371" i="5" s="1"/>
  <c r="I371" i="5" s="1"/>
  <c r="H370" i="5"/>
  <c r="E370" i="5"/>
  <c r="J370" i="5" s="1"/>
  <c r="H369" i="5"/>
  <c r="E369" i="5"/>
  <c r="G369" i="5" s="1"/>
  <c r="I369" i="5" s="1"/>
  <c r="H368" i="5"/>
  <c r="E368" i="5"/>
  <c r="J368" i="5" s="1"/>
  <c r="H367" i="5"/>
  <c r="E367" i="5"/>
  <c r="H366" i="5"/>
  <c r="E366" i="5"/>
  <c r="J366" i="5" s="1"/>
  <c r="H365" i="5"/>
  <c r="E365" i="5"/>
  <c r="G365" i="5" s="1"/>
  <c r="I365" i="5" s="1"/>
  <c r="H364" i="5"/>
  <c r="E364" i="5"/>
  <c r="J364" i="5" s="1"/>
  <c r="H363" i="5"/>
  <c r="E363" i="5"/>
  <c r="G363" i="5" s="1"/>
  <c r="I363" i="5" s="1"/>
  <c r="H362" i="5"/>
  <c r="E362" i="5"/>
  <c r="J362" i="5" s="1"/>
  <c r="H361" i="5"/>
  <c r="E361" i="5"/>
  <c r="G361" i="5" s="1"/>
  <c r="F360" i="5"/>
  <c r="H359" i="5"/>
  <c r="E359" i="5"/>
  <c r="G359" i="5" s="1"/>
  <c r="I359" i="5" s="1"/>
  <c r="H358" i="5"/>
  <c r="E358" i="5"/>
  <c r="J358" i="5" s="1"/>
  <c r="J357" i="5"/>
  <c r="H357" i="5"/>
  <c r="E357" i="5"/>
  <c r="G357" i="5" s="1"/>
  <c r="F356" i="5"/>
  <c r="H355" i="5"/>
  <c r="E355" i="5"/>
  <c r="G355" i="5" s="1"/>
  <c r="I355" i="5" s="1"/>
  <c r="H354" i="5"/>
  <c r="E354" i="5"/>
  <c r="G354" i="5" s="1"/>
  <c r="I354" i="5" s="1"/>
  <c r="H353" i="5"/>
  <c r="E353" i="5"/>
  <c r="H352" i="5"/>
  <c r="E352" i="5"/>
  <c r="G352" i="5" s="1"/>
  <c r="I352" i="5" s="1"/>
  <c r="H351" i="5"/>
  <c r="E351" i="5"/>
  <c r="G351" i="5" s="1"/>
  <c r="I351" i="5" s="1"/>
  <c r="H350" i="5"/>
  <c r="E350" i="5"/>
  <c r="G350" i="5" s="1"/>
  <c r="I350" i="5" s="1"/>
  <c r="J349" i="5"/>
  <c r="H349" i="5"/>
  <c r="E349" i="5"/>
  <c r="G349" i="5" s="1"/>
  <c r="I349" i="5" s="1"/>
  <c r="H348" i="5"/>
  <c r="E348" i="5"/>
  <c r="G348" i="5" s="1"/>
  <c r="I348" i="5" s="1"/>
  <c r="H347" i="5"/>
  <c r="E347" i="5"/>
  <c r="G347" i="5" s="1"/>
  <c r="I347" i="5" s="1"/>
  <c r="J346" i="5"/>
  <c r="H346" i="5"/>
  <c r="E346" i="5"/>
  <c r="G346" i="5" s="1"/>
  <c r="I346" i="5" s="1"/>
  <c r="H345" i="5"/>
  <c r="E345" i="5"/>
  <c r="H344" i="5"/>
  <c r="E344" i="5"/>
  <c r="G344" i="5" s="1"/>
  <c r="I344" i="5" s="1"/>
  <c r="H343" i="5"/>
  <c r="E343" i="5"/>
  <c r="G343" i="5" s="1"/>
  <c r="I343" i="5" s="1"/>
  <c r="H342" i="5"/>
  <c r="E342" i="5"/>
  <c r="G342" i="5" s="1"/>
  <c r="I342" i="5" s="1"/>
  <c r="H341" i="5"/>
  <c r="E341" i="5"/>
  <c r="G341" i="5" s="1"/>
  <c r="I341" i="5" s="1"/>
  <c r="H340" i="5"/>
  <c r="E340" i="5"/>
  <c r="G340" i="5" s="1"/>
  <c r="I340" i="5" s="1"/>
  <c r="H339" i="5"/>
  <c r="E339" i="5"/>
  <c r="G339" i="5" s="1"/>
  <c r="I339" i="5" s="1"/>
  <c r="H338" i="5"/>
  <c r="E338" i="5"/>
  <c r="G338" i="5" s="1"/>
  <c r="I338" i="5" s="1"/>
  <c r="H337" i="5"/>
  <c r="E337" i="5"/>
  <c r="H336" i="5"/>
  <c r="E336" i="5"/>
  <c r="G336" i="5" s="1"/>
  <c r="I336" i="5" s="1"/>
  <c r="H335" i="5"/>
  <c r="E335" i="5"/>
  <c r="G335" i="5" s="1"/>
  <c r="I335" i="5" s="1"/>
  <c r="H334" i="5"/>
  <c r="E334" i="5"/>
  <c r="G334" i="5" s="1"/>
  <c r="I334" i="5" s="1"/>
  <c r="J333" i="5"/>
  <c r="H333" i="5"/>
  <c r="E333" i="5"/>
  <c r="G333" i="5" s="1"/>
  <c r="I333" i="5" s="1"/>
  <c r="H332" i="5"/>
  <c r="E332" i="5"/>
  <c r="G332" i="5" s="1"/>
  <c r="I332" i="5" s="1"/>
  <c r="H331" i="5"/>
  <c r="E331" i="5"/>
  <c r="G331" i="5" s="1"/>
  <c r="I331" i="5" s="1"/>
  <c r="J330" i="5"/>
  <c r="H330" i="5"/>
  <c r="E330" i="5"/>
  <c r="G330" i="5" s="1"/>
  <c r="I330" i="5" s="1"/>
  <c r="H329" i="5"/>
  <c r="E329" i="5"/>
  <c r="H328" i="5"/>
  <c r="E328" i="5"/>
  <c r="G328" i="5" s="1"/>
  <c r="I328" i="5" s="1"/>
  <c r="H327" i="5"/>
  <c r="E327" i="5"/>
  <c r="G327" i="5" s="1"/>
  <c r="I327" i="5" s="1"/>
  <c r="H326" i="5"/>
  <c r="E326" i="5"/>
  <c r="G326" i="5" s="1"/>
  <c r="I326" i="5" s="1"/>
  <c r="H325" i="5"/>
  <c r="E325" i="5"/>
  <c r="G325" i="5" s="1"/>
  <c r="I325" i="5" s="1"/>
  <c r="H324" i="5"/>
  <c r="E324" i="5"/>
  <c r="G324" i="5" s="1"/>
  <c r="I324" i="5" s="1"/>
  <c r="H323" i="5"/>
  <c r="E323" i="5"/>
  <c r="G323" i="5" s="1"/>
  <c r="I323" i="5" s="1"/>
  <c r="H322" i="5"/>
  <c r="E322" i="5"/>
  <c r="G322" i="5" s="1"/>
  <c r="I322" i="5" s="1"/>
  <c r="H321" i="5"/>
  <c r="E321" i="5"/>
  <c r="H320" i="5"/>
  <c r="E320" i="5"/>
  <c r="G320" i="5" s="1"/>
  <c r="I320" i="5" s="1"/>
  <c r="H319" i="5"/>
  <c r="E319" i="5"/>
  <c r="G319" i="5" s="1"/>
  <c r="I319" i="5" s="1"/>
  <c r="H318" i="5"/>
  <c r="E318" i="5"/>
  <c r="G318" i="5" s="1"/>
  <c r="I318" i="5" s="1"/>
  <c r="J317" i="5"/>
  <c r="H317" i="5"/>
  <c r="E317" i="5"/>
  <c r="G317" i="5" s="1"/>
  <c r="I317" i="5" s="1"/>
  <c r="J316" i="5"/>
  <c r="H316" i="5"/>
  <c r="E316" i="5"/>
  <c r="G316" i="5" s="1"/>
  <c r="I316" i="5" s="1"/>
  <c r="H315" i="5"/>
  <c r="E315" i="5"/>
  <c r="J315" i="5" s="1"/>
  <c r="H314" i="5"/>
  <c r="E314" i="5"/>
  <c r="G314" i="5" s="1"/>
  <c r="I314" i="5" s="1"/>
  <c r="H313" i="5"/>
  <c r="E313" i="5"/>
  <c r="J313" i="5" s="1"/>
  <c r="H312" i="5"/>
  <c r="E312" i="5"/>
  <c r="G312" i="5" s="1"/>
  <c r="I312" i="5" s="1"/>
  <c r="H311" i="5"/>
  <c r="E311" i="5"/>
  <c r="J311" i="5" s="1"/>
  <c r="H310" i="5"/>
  <c r="E310" i="5"/>
  <c r="G310" i="5" s="1"/>
  <c r="I310" i="5" s="1"/>
  <c r="J309" i="5"/>
  <c r="H309" i="5"/>
  <c r="E309" i="5"/>
  <c r="G309" i="5" s="1"/>
  <c r="F308" i="5"/>
  <c r="H307" i="5"/>
  <c r="E307" i="5"/>
  <c r="J307" i="5" s="1"/>
  <c r="H306" i="5"/>
  <c r="E306" i="5"/>
  <c r="G306" i="5" s="1"/>
  <c r="I306" i="5" s="1"/>
  <c r="H305" i="5"/>
  <c r="E305" i="5"/>
  <c r="J305" i="5" s="1"/>
  <c r="H304" i="5"/>
  <c r="E304" i="5"/>
  <c r="G304" i="5" s="1"/>
  <c r="I304" i="5" s="1"/>
  <c r="H303" i="5"/>
  <c r="E303" i="5"/>
  <c r="J303" i="5" s="1"/>
  <c r="I302" i="5"/>
  <c r="H302" i="5"/>
  <c r="E302" i="5"/>
  <c r="G302" i="5" s="1"/>
  <c r="J301" i="5"/>
  <c r="H301" i="5"/>
  <c r="G301" i="5"/>
  <c r="I301" i="5" s="1"/>
  <c r="E301" i="5"/>
  <c r="J300" i="5"/>
  <c r="I300" i="5"/>
  <c r="H300" i="5"/>
  <c r="E300" i="5"/>
  <c r="G300" i="5" s="1"/>
  <c r="H299" i="5"/>
  <c r="E299" i="5"/>
  <c r="J299" i="5" s="1"/>
  <c r="H298" i="5"/>
  <c r="E298" i="5"/>
  <c r="G298" i="5" s="1"/>
  <c r="I298" i="5" s="1"/>
  <c r="H297" i="5"/>
  <c r="G297" i="5"/>
  <c r="I297" i="5" s="1"/>
  <c r="E297" i="5"/>
  <c r="J297" i="5" s="1"/>
  <c r="H296" i="5"/>
  <c r="E296" i="5"/>
  <c r="G296" i="5" s="1"/>
  <c r="I296" i="5" s="1"/>
  <c r="H295" i="5"/>
  <c r="G295" i="5"/>
  <c r="I295" i="5" s="1"/>
  <c r="E295" i="5"/>
  <c r="J295" i="5" s="1"/>
  <c r="I294" i="5"/>
  <c r="H294" i="5"/>
  <c r="E294" i="5"/>
  <c r="G294" i="5" s="1"/>
  <c r="H293" i="5"/>
  <c r="E293" i="5"/>
  <c r="J293" i="5" s="1"/>
  <c r="H292" i="5"/>
  <c r="E292" i="5"/>
  <c r="G292" i="5" s="1"/>
  <c r="I292" i="5" s="1"/>
  <c r="H291" i="5"/>
  <c r="E291" i="5"/>
  <c r="J291" i="5" s="1"/>
  <c r="H290" i="5"/>
  <c r="E290" i="5"/>
  <c r="G290" i="5" s="1"/>
  <c r="I290" i="5" s="1"/>
  <c r="H289" i="5"/>
  <c r="E289" i="5"/>
  <c r="H288" i="5"/>
  <c r="E288" i="5"/>
  <c r="G288" i="5" s="1"/>
  <c r="I288" i="5" s="1"/>
  <c r="H287" i="5"/>
  <c r="G287" i="5"/>
  <c r="I287" i="5" s="1"/>
  <c r="E287" i="5"/>
  <c r="J287" i="5" s="1"/>
  <c r="H286" i="5"/>
  <c r="E286" i="5"/>
  <c r="G286" i="5" s="1"/>
  <c r="I286" i="5" s="1"/>
  <c r="H285" i="5"/>
  <c r="E285" i="5"/>
  <c r="H284" i="5"/>
  <c r="E284" i="5"/>
  <c r="H283" i="5"/>
  <c r="E283" i="5"/>
  <c r="J283" i="5" s="1"/>
  <c r="H282" i="5"/>
  <c r="E282" i="5"/>
  <c r="G282" i="5" s="1"/>
  <c r="I282" i="5" s="1"/>
  <c r="H281" i="5"/>
  <c r="E281" i="5"/>
  <c r="J281" i="5" s="1"/>
  <c r="H280" i="5"/>
  <c r="E280" i="5"/>
  <c r="G280" i="5" s="1"/>
  <c r="I280" i="5" s="1"/>
  <c r="H279" i="5"/>
  <c r="E279" i="5"/>
  <c r="H278" i="5"/>
  <c r="E278" i="5"/>
  <c r="G278" i="5" s="1"/>
  <c r="I278" i="5" s="1"/>
  <c r="H277" i="5"/>
  <c r="E277" i="5"/>
  <c r="G277" i="5" s="1"/>
  <c r="F276" i="5"/>
  <c r="H275" i="5"/>
  <c r="E275" i="5"/>
  <c r="J275" i="5" s="1"/>
  <c r="H274" i="5"/>
  <c r="E274" i="5"/>
  <c r="G274" i="5" s="1"/>
  <c r="I274" i="5" s="1"/>
  <c r="H273" i="5"/>
  <c r="E273" i="5"/>
  <c r="J273" i="5" s="1"/>
  <c r="H272" i="5"/>
  <c r="E272" i="5"/>
  <c r="G272" i="5" s="1"/>
  <c r="I272" i="5" s="1"/>
  <c r="H271" i="5"/>
  <c r="E271" i="5"/>
  <c r="H270" i="5"/>
  <c r="E270" i="5"/>
  <c r="G270" i="5" s="1"/>
  <c r="I270" i="5" s="1"/>
  <c r="H269" i="5"/>
  <c r="E269" i="5"/>
  <c r="G269" i="5" s="1"/>
  <c r="I269" i="5" s="1"/>
  <c r="J268" i="5"/>
  <c r="H268" i="5"/>
  <c r="E268" i="5"/>
  <c r="G268" i="5" s="1"/>
  <c r="I268" i="5" s="1"/>
  <c r="H267" i="5"/>
  <c r="E267" i="5"/>
  <c r="J267" i="5" s="1"/>
  <c r="H266" i="5"/>
  <c r="E266" i="5"/>
  <c r="G266" i="5" s="1"/>
  <c r="I266" i="5" s="1"/>
  <c r="H265" i="5"/>
  <c r="G265" i="5"/>
  <c r="I265" i="5" s="1"/>
  <c r="E265" i="5"/>
  <c r="J265" i="5" s="1"/>
  <c r="H264" i="5"/>
  <c r="E264" i="5"/>
  <c r="G264" i="5" s="1"/>
  <c r="I264" i="5" s="1"/>
  <c r="H263" i="5"/>
  <c r="E263" i="5"/>
  <c r="J263" i="5" s="1"/>
  <c r="H262" i="5"/>
  <c r="E262" i="5"/>
  <c r="G262" i="5" s="1"/>
  <c r="I262" i="5" s="1"/>
  <c r="H261" i="5"/>
  <c r="E261" i="5"/>
  <c r="J261" i="5" s="1"/>
  <c r="H260" i="5"/>
  <c r="E260" i="5"/>
  <c r="G260" i="5" s="1"/>
  <c r="I260" i="5" s="1"/>
  <c r="H259" i="5"/>
  <c r="E259" i="5"/>
  <c r="J259" i="5" s="1"/>
  <c r="H258" i="5"/>
  <c r="E258" i="5"/>
  <c r="G258" i="5" s="1"/>
  <c r="I258" i="5" s="1"/>
  <c r="H257" i="5"/>
  <c r="E257" i="5"/>
  <c r="J257" i="5" s="1"/>
  <c r="H256" i="5"/>
  <c r="E256" i="5"/>
  <c r="G256" i="5" s="1"/>
  <c r="I256" i="5" s="1"/>
  <c r="F255" i="5"/>
  <c r="H254" i="5"/>
  <c r="E254" i="5"/>
  <c r="G254" i="5" s="1"/>
  <c r="I254" i="5" s="1"/>
  <c r="H253" i="5"/>
  <c r="E253" i="5"/>
  <c r="H252" i="5"/>
  <c r="E252" i="5"/>
  <c r="H251" i="5"/>
  <c r="E251" i="5"/>
  <c r="J251" i="5" s="1"/>
  <c r="H250" i="5"/>
  <c r="E250" i="5"/>
  <c r="G250" i="5" s="1"/>
  <c r="I250" i="5" s="1"/>
  <c r="H249" i="5"/>
  <c r="E249" i="5"/>
  <c r="J249" i="5" s="1"/>
  <c r="H248" i="5"/>
  <c r="E248" i="5"/>
  <c r="G248" i="5" s="1"/>
  <c r="I248" i="5" s="1"/>
  <c r="H247" i="5"/>
  <c r="E247" i="5"/>
  <c r="H246" i="5"/>
  <c r="E246" i="5"/>
  <c r="J246" i="5" s="1"/>
  <c r="H245" i="5"/>
  <c r="E245" i="5"/>
  <c r="J245" i="5" s="1"/>
  <c r="H244" i="5"/>
  <c r="E244" i="5"/>
  <c r="J244" i="5" s="1"/>
  <c r="H243" i="5"/>
  <c r="E243" i="5"/>
  <c r="J243" i="5" s="1"/>
  <c r="H242" i="5"/>
  <c r="E242" i="5"/>
  <c r="J242" i="5" s="1"/>
  <c r="H241" i="5"/>
  <c r="E241" i="5"/>
  <c r="J241" i="5" s="1"/>
  <c r="H240" i="5"/>
  <c r="E240" i="5"/>
  <c r="J240" i="5" s="1"/>
  <c r="H239" i="5"/>
  <c r="G239" i="5"/>
  <c r="I239" i="5" s="1"/>
  <c r="E239" i="5"/>
  <c r="J239" i="5" s="1"/>
  <c r="H238" i="5"/>
  <c r="E238" i="5"/>
  <c r="J238" i="5" s="1"/>
  <c r="H237" i="5"/>
  <c r="G237" i="5"/>
  <c r="I237" i="5" s="1"/>
  <c r="E237" i="5"/>
  <c r="J237" i="5" s="1"/>
  <c r="H236" i="5"/>
  <c r="E236" i="5"/>
  <c r="J236" i="5" s="1"/>
  <c r="H235" i="5"/>
  <c r="E235" i="5"/>
  <c r="J235" i="5" s="1"/>
  <c r="H234" i="5"/>
  <c r="E234" i="5"/>
  <c r="J234" i="5" s="1"/>
  <c r="H233" i="5"/>
  <c r="E233" i="5"/>
  <c r="H232" i="5"/>
  <c r="E232" i="5"/>
  <c r="J232" i="5" s="1"/>
  <c r="H231" i="5"/>
  <c r="E231" i="5"/>
  <c r="J231" i="5" s="1"/>
  <c r="H230" i="5"/>
  <c r="E230" i="5"/>
  <c r="J230" i="5" s="1"/>
  <c r="H229" i="5"/>
  <c r="G229" i="5"/>
  <c r="I229" i="5" s="1"/>
  <c r="E229" i="5"/>
  <c r="J229" i="5" s="1"/>
  <c r="H228" i="5"/>
  <c r="E228" i="5"/>
  <c r="J228" i="5" s="1"/>
  <c r="F227" i="5"/>
  <c r="H226" i="5"/>
  <c r="E226" i="5"/>
  <c r="J226" i="5" s="1"/>
  <c r="H225" i="5"/>
  <c r="G225" i="5"/>
  <c r="I225" i="5" s="1"/>
  <c r="E225" i="5"/>
  <c r="J225" i="5" s="1"/>
  <c r="H224" i="5"/>
  <c r="E224" i="5"/>
  <c r="J224" i="5" s="1"/>
  <c r="F223" i="5"/>
  <c r="H222" i="5"/>
  <c r="E222" i="5"/>
  <c r="J222" i="5" s="1"/>
  <c r="H221" i="5"/>
  <c r="E221" i="5"/>
  <c r="H220" i="5"/>
  <c r="E220" i="5"/>
  <c r="J220" i="5" s="1"/>
  <c r="H219" i="5"/>
  <c r="E219" i="5"/>
  <c r="J219" i="5" s="1"/>
  <c r="F218" i="5"/>
  <c r="H217" i="5"/>
  <c r="E217" i="5"/>
  <c r="J217" i="5" s="1"/>
  <c r="H216" i="5"/>
  <c r="E216" i="5"/>
  <c r="J216" i="5" s="1"/>
  <c r="H215" i="5"/>
  <c r="E215" i="5"/>
  <c r="J215" i="5" s="1"/>
  <c r="H214" i="5"/>
  <c r="E214" i="5"/>
  <c r="J214" i="5" s="1"/>
  <c r="H213" i="5"/>
  <c r="G213" i="5"/>
  <c r="I213" i="5" s="1"/>
  <c r="E213" i="5"/>
  <c r="J213" i="5" s="1"/>
  <c r="H212" i="5"/>
  <c r="E212" i="5"/>
  <c r="J212" i="5" s="1"/>
  <c r="H211" i="5"/>
  <c r="E211" i="5"/>
  <c r="H210" i="5"/>
  <c r="E210" i="5"/>
  <c r="J210" i="5" s="1"/>
  <c r="F209" i="5"/>
  <c r="H208" i="5"/>
  <c r="E208" i="5"/>
  <c r="J208" i="5" s="1"/>
  <c r="H207" i="5"/>
  <c r="G207" i="5"/>
  <c r="I207" i="5" s="1"/>
  <c r="E207" i="5"/>
  <c r="J207" i="5" s="1"/>
  <c r="H206" i="5"/>
  <c r="E206" i="5"/>
  <c r="J206" i="5" s="1"/>
  <c r="H205" i="5"/>
  <c r="H204" i="5" s="1"/>
  <c r="G205" i="5"/>
  <c r="I205" i="5" s="1"/>
  <c r="E205" i="5"/>
  <c r="J205" i="5" s="1"/>
  <c r="F204" i="5"/>
  <c r="H203" i="5"/>
  <c r="G203" i="5"/>
  <c r="I203" i="5" s="1"/>
  <c r="E203" i="5"/>
  <c r="J203" i="5" s="1"/>
  <c r="J202" i="5"/>
  <c r="I202" i="5"/>
  <c r="H202" i="5"/>
  <c r="G202" i="5"/>
  <c r="H201" i="5"/>
  <c r="G201" i="5"/>
  <c r="I201" i="5" s="1"/>
  <c r="E201" i="5"/>
  <c r="J201" i="5" s="1"/>
  <c r="H200" i="5"/>
  <c r="E200" i="5"/>
  <c r="J200" i="5" s="1"/>
  <c r="H199" i="5"/>
  <c r="E199" i="5"/>
  <c r="H198" i="5"/>
  <c r="E198" i="5"/>
  <c r="H197" i="5"/>
  <c r="G197" i="5"/>
  <c r="I197" i="5" s="1"/>
  <c r="E197" i="5"/>
  <c r="J197" i="5" s="1"/>
  <c r="I196" i="5"/>
  <c r="H196" i="5"/>
  <c r="G196" i="5"/>
  <c r="E196" i="5"/>
  <c r="J196" i="5" s="1"/>
  <c r="H195" i="5"/>
  <c r="G195" i="5"/>
  <c r="I195" i="5" s="1"/>
  <c r="E195" i="5"/>
  <c r="J195" i="5" s="1"/>
  <c r="H194" i="5"/>
  <c r="E194" i="5"/>
  <c r="J194" i="5" s="1"/>
  <c r="H193" i="5"/>
  <c r="E193" i="5"/>
  <c r="J193" i="5" s="1"/>
  <c r="H192" i="5"/>
  <c r="E192" i="5"/>
  <c r="J192" i="5" s="1"/>
  <c r="F191" i="5"/>
  <c r="H189" i="5"/>
  <c r="G189" i="5"/>
  <c r="I189" i="5" s="1"/>
  <c r="E189" i="5"/>
  <c r="J189" i="5" s="1"/>
  <c r="H188" i="5"/>
  <c r="G188" i="5"/>
  <c r="I188" i="5" s="1"/>
  <c r="H187" i="5"/>
  <c r="E187" i="5"/>
  <c r="H186" i="5"/>
  <c r="E186" i="5"/>
  <c r="J186" i="5" s="1"/>
  <c r="F185" i="5"/>
  <c r="H184" i="5"/>
  <c r="E184" i="5"/>
  <c r="J184" i="5" s="1"/>
  <c r="H183" i="5"/>
  <c r="E183" i="5"/>
  <c r="J183" i="5" s="1"/>
  <c r="H182" i="5"/>
  <c r="E182" i="5"/>
  <c r="J182" i="5" s="1"/>
  <c r="H181" i="5"/>
  <c r="H179" i="5" s="1"/>
  <c r="G181" i="5"/>
  <c r="I181" i="5" s="1"/>
  <c r="E181" i="5"/>
  <c r="J181" i="5" s="1"/>
  <c r="H180" i="5"/>
  <c r="G180" i="5"/>
  <c r="I180" i="5" s="1"/>
  <c r="E180" i="5"/>
  <c r="J180" i="5" s="1"/>
  <c r="F179" i="5"/>
  <c r="H178" i="5"/>
  <c r="G178" i="5"/>
  <c r="I178" i="5" s="1"/>
  <c r="E178" i="5"/>
  <c r="J178" i="5" s="1"/>
  <c r="H177" i="5"/>
  <c r="E177" i="5"/>
  <c r="J177" i="5" s="1"/>
  <c r="H176" i="5"/>
  <c r="E176" i="5"/>
  <c r="J176" i="5" s="1"/>
  <c r="H175" i="5"/>
  <c r="G175" i="5"/>
  <c r="E175" i="5"/>
  <c r="J175" i="5" s="1"/>
  <c r="F174" i="5"/>
  <c r="I173" i="5"/>
  <c r="H173" i="5"/>
  <c r="G173" i="5"/>
  <c r="E173" i="5"/>
  <c r="J173" i="5" s="1"/>
  <c r="H172" i="5"/>
  <c r="G172" i="5"/>
  <c r="I172" i="5" s="1"/>
  <c r="E172" i="5"/>
  <c r="J172" i="5" s="1"/>
  <c r="H171" i="5"/>
  <c r="E171" i="5"/>
  <c r="J171" i="5" s="1"/>
  <c r="J170" i="5" s="1"/>
  <c r="F170" i="5"/>
  <c r="H169" i="5"/>
  <c r="E169" i="5"/>
  <c r="H168" i="5"/>
  <c r="H167" i="5" s="1"/>
  <c r="G168" i="5"/>
  <c r="I168" i="5" s="1"/>
  <c r="E168" i="5"/>
  <c r="J168" i="5" s="1"/>
  <c r="F167" i="5"/>
  <c r="H166" i="5"/>
  <c r="E166" i="5"/>
  <c r="H165" i="5"/>
  <c r="F165" i="5"/>
  <c r="H164" i="5"/>
  <c r="E164" i="5"/>
  <c r="J164" i="5" s="1"/>
  <c r="H163" i="5"/>
  <c r="H162" i="5" s="1"/>
  <c r="E163" i="5"/>
  <c r="J163" i="5" s="1"/>
  <c r="F162" i="5"/>
  <c r="I161" i="5"/>
  <c r="H161" i="5"/>
  <c r="G161" i="5"/>
  <c r="E161" i="5"/>
  <c r="J161" i="5" s="1"/>
  <c r="H160" i="5"/>
  <c r="G160" i="5"/>
  <c r="I160" i="5" s="1"/>
  <c r="E160" i="5"/>
  <c r="J160" i="5" s="1"/>
  <c r="J159" i="5" s="1"/>
  <c r="F159" i="5"/>
  <c r="H157" i="5"/>
  <c r="G157" i="5"/>
  <c r="I157" i="5" s="1"/>
  <c r="E157" i="5"/>
  <c r="J157" i="5" s="1"/>
  <c r="H156" i="5"/>
  <c r="E156" i="5"/>
  <c r="H155" i="5"/>
  <c r="E155" i="5"/>
  <c r="H154" i="5"/>
  <c r="E154" i="5"/>
  <c r="J154" i="5" s="1"/>
  <c r="H153" i="5"/>
  <c r="E153" i="5"/>
  <c r="J153" i="5" s="1"/>
  <c r="H152" i="5"/>
  <c r="E152" i="5"/>
  <c r="J152" i="5" s="1"/>
  <c r="F151" i="5"/>
  <c r="H150" i="5"/>
  <c r="E150" i="5"/>
  <c r="J150" i="5" s="1"/>
  <c r="H149" i="5"/>
  <c r="H148" i="5" s="1"/>
  <c r="E149" i="5"/>
  <c r="J149" i="5" s="1"/>
  <c r="J148" i="5" s="1"/>
  <c r="F148" i="5"/>
  <c r="H147" i="5"/>
  <c r="E147" i="5"/>
  <c r="J147" i="5" s="1"/>
  <c r="H146" i="5"/>
  <c r="E146" i="5"/>
  <c r="H145" i="5"/>
  <c r="F145" i="5"/>
  <c r="H144" i="5"/>
  <c r="E144" i="5"/>
  <c r="J144" i="5" s="1"/>
  <c r="H143" i="5"/>
  <c r="E143" i="5"/>
  <c r="J143" i="5" s="1"/>
  <c r="H142" i="5"/>
  <c r="E142" i="5"/>
  <c r="H141" i="5"/>
  <c r="E141" i="5"/>
  <c r="H140" i="5"/>
  <c r="E140" i="5"/>
  <c r="J140" i="5" s="1"/>
  <c r="H139" i="5"/>
  <c r="E139" i="5"/>
  <c r="J139" i="5" s="1"/>
  <c r="H138" i="5"/>
  <c r="H137" i="5" s="1"/>
  <c r="H136" i="5" s="1"/>
  <c r="G138" i="5"/>
  <c r="I138" i="5" s="1"/>
  <c r="E138" i="5"/>
  <c r="J138" i="5" s="1"/>
  <c r="F137" i="5"/>
  <c r="F136" i="5"/>
  <c r="H135" i="5"/>
  <c r="E135" i="5"/>
  <c r="J135" i="5" s="1"/>
  <c r="H134" i="5"/>
  <c r="H133" i="5" s="1"/>
  <c r="E134" i="5"/>
  <c r="F133" i="5"/>
  <c r="H132" i="5"/>
  <c r="G132" i="5"/>
  <c r="I132" i="5" s="1"/>
  <c r="E132" i="5"/>
  <c r="J132" i="5" s="1"/>
  <c r="H131" i="5"/>
  <c r="E131" i="5"/>
  <c r="J131" i="5" s="1"/>
  <c r="J130" i="5" s="1"/>
  <c r="F130" i="5"/>
  <c r="H129" i="5"/>
  <c r="G129" i="5"/>
  <c r="I129" i="5" s="1"/>
  <c r="E129" i="5"/>
  <c r="J129" i="5" s="1"/>
  <c r="H128" i="5"/>
  <c r="E128" i="5"/>
  <c r="J128" i="5" s="1"/>
  <c r="H127" i="5"/>
  <c r="E127" i="5"/>
  <c r="J127" i="5" s="1"/>
  <c r="F126" i="5"/>
  <c r="H125" i="5"/>
  <c r="E125" i="5"/>
  <c r="H124" i="5"/>
  <c r="H123" i="5" s="1"/>
  <c r="E124" i="5"/>
  <c r="J124" i="5" s="1"/>
  <c r="F123" i="5"/>
  <c r="H122" i="5"/>
  <c r="E122" i="5"/>
  <c r="H121" i="5"/>
  <c r="E121" i="5"/>
  <c r="H120" i="5"/>
  <c r="G120" i="5"/>
  <c r="I120" i="5" s="1"/>
  <c r="E120" i="5"/>
  <c r="J120" i="5" s="1"/>
  <c r="H119" i="5"/>
  <c r="E119" i="5"/>
  <c r="J119" i="5" s="1"/>
  <c r="H118" i="5"/>
  <c r="E118" i="5"/>
  <c r="J118" i="5" s="1"/>
  <c r="H117" i="5"/>
  <c r="E117" i="5"/>
  <c r="J117" i="5" s="1"/>
  <c r="H116" i="5"/>
  <c r="E116" i="5"/>
  <c r="J116" i="5" s="1"/>
  <c r="H115" i="5"/>
  <c r="E115" i="5"/>
  <c r="J115" i="5" s="1"/>
  <c r="F114" i="5"/>
  <c r="F107" i="5" s="1"/>
  <c r="H113" i="5"/>
  <c r="G113" i="5"/>
  <c r="H112" i="5"/>
  <c r="G112" i="5"/>
  <c r="I112" i="5" s="1"/>
  <c r="E112" i="5"/>
  <c r="J112" i="5" s="1"/>
  <c r="H111" i="5"/>
  <c r="E111" i="5"/>
  <c r="G111" i="5" s="1"/>
  <c r="H110" i="5"/>
  <c r="F110" i="5"/>
  <c r="H109" i="5"/>
  <c r="E109" i="5"/>
  <c r="G109" i="5" s="1"/>
  <c r="H108" i="5"/>
  <c r="F108" i="5"/>
  <c r="H106" i="5"/>
  <c r="E106" i="5"/>
  <c r="J106" i="5" s="1"/>
  <c r="H105" i="5"/>
  <c r="E105" i="5"/>
  <c r="G105" i="5" s="1"/>
  <c r="I105" i="5" s="1"/>
  <c r="H104" i="5"/>
  <c r="G104" i="5"/>
  <c r="I104" i="5" s="1"/>
  <c r="E104" i="5"/>
  <c r="J104" i="5" s="1"/>
  <c r="H103" i="5"/>
  <c r="E103" i="5"/>
  <c r="G103" i="5" s="1"/>
  <c r="I103" i="5" s="1"/>
  <c r="H102" i="5"/>
  <c r="E102" i="5"/>
  <c r="J102" i="5" s="1"/>
  <c r="H101" i="5"/>
  <c r="E101" i="5"/>
  <c r="H100" i="5"/>
  <c r="E100" i="5"/>
  <c r="H99" i="5"/>
  <c r="E99" i="5"/>
  <c r="G99" i="5" s="1"/>
  <c r="F98" i="5"/>
  <c r="H97" i="5"/>
  <c r="H96" i="5" s="1"/>
  <c r="E97" i="5"/>
  <c r="G97" i="5" s="1"/>
  <c r="F96" i="5"/>
  <c r="H95" i="5"/>
  <c r="E95" i="5"/>
  <c r="G95" i="5" s="1"/>
  <c r="I95" i="5" s="1"/>
  <c r="H94" i="5"/>
  <c r="E94" i="5"/>
  <c r="G94" i="5" s="1"/>
  <c r="I94" i="5" s="1"/>
  <c r="H93" i="5"/>
  <c r="E93" i="5"/>
  <c r="G93" i="5" s="1"/>
  <c r="I93" i="5" s="1"/>
  <c r="I92" i="5"/>
  <c r="H92" i="5"/>
  <c r="G92" i="5"/>
  <c r="J91" i="5"/>
  <c r="H91" i="5"/>
  <c r="E91" i="5"/>
  <c r="G91" i="5" s="1"/>
  <c r="I91" i="5" s="1"/>
  <c r="H90" i="5"/>
  <c r="E90" i="5"/>
  <c r="J90" i="5" s="1"/>
  <c r="F89" i="5"/>
  <c r="H87" i="5"/>
  <c r="E87" i="5"/>
  <c r="G87" i="5" s="1"/>
  <c r="I87" i="5" s="1"/>
  <c r="H86" i="5"/>
  <c r="H85" i="5" s="1"/>
  <c r="E86" i="5"/>
  <c r="F85" i="5"/>
  <c r="H84" i="5"/>
  <c r="E84" i="5"/>
  <c r="I83" i="5"/>
  <c r="H83" i="5"/>
  <c r="G83" i="5"/>
  <c r="H82" i="5"/>
  <c r="E82" i="5"/>
  <c r="G82" i="5" s="1"/>
  <c r="I82" i="5" s="1"/>
  <c r="J81" i="5"/>
  <c r="H81" i="5"/>
  <c r="G81" i="5"/>
  <c r="I81" i="5" s="1"/>
  <c r="H80" i="5"/>
  <c r="G80" i="5"/>
  <c r="I80" i="5" s="1"/>
  <c r="H79" i="5"/>
  <c r="E79" i="5"/>
  <c r="J79" i="5" s="1"/>
  <c r="J78" i="5"/>
  <c r="H78" i="5"/>
  <c r="E78" i="5"/>
  <c r="G78" i="5" s="1"/>
  <c r="I78" i="5" s="1"/>
  <c r="H77" i="5"/>
  <c r="E77" i="5"/>
  <c r="J77" i="5" s="1"/>
  <c r="H76" i="5"/>
  <c r="E76" i="5"/>
  <c r="G76" i="5" s="1"/>
  <c r="I76" i="5" s="1"/>
  <c r="H75" i="5"/>
  <c r="G75" i="5"/>
  <c r="I75" i="5" s="1"/>
  <c r="E75" i="5"/>
  <c r="J75" i="5" s="1"/>
  <c r="F74" i="5"/>
  <c r="H73" i="5"/>
  <c r="G73" i="5"/>
  <c r="I73" i="5" s="1"/>
  <c r="E73" i="5"/>
  <c r="J73" i="5" s="1"/>
  <c r="J72" i="5"/>
  <c r="I72" i="5"/>
  <c r="H72" i="5"/>
  <c r="G72" i="5"/>
  <c r="J71" i="5"/>
  <c r="H71" i="5"/>
  <c r="G71" i="5"/>
  <c r="I71" i="5" s="1"/>
  <c r="J70" i="5"/>
  <c r="H70" i="5"/>
  <c r="G70" i="5"/>
  <c r="I70" i="5" s="1"/>
  <c r="J69" i="5"/>
  <c r="H69" i="5"/>
  <c r="G69" i="5"/>
  <c r="I69" i="5" s="1"/>
  <c r="H68" i="5"/>
  <c r="E68" i="5"/>
  <c r="G68" i="5" s="1"/>
  <c r="I68" i="5" s="1"/>
  <c r="H67" i="5"/>
  <c r="E67" i="5"/>
  <c r="J67" i="5" s="1"/>
  <c r="H66" i="5"/>
  <c r="E66" i="5"/>
  <c r="G66" i="5" s="1"/>
  <c r="I66" i="5" s="1"/>
  <c r="H65" i="5"/>
  <c r="E65" i="5"/>
  <c r="J65" i="5" s="1"/>
  <c r="H64" i="5"/>
  <c r="E64" i="5"/>
  <c r="G64" i="5" s="1"/>
  <c r="I64" i="5" s="1"/>
  <c r="F63" i="5"/>
  <c r="H62" i="5"/>
  <c r="E62" i="5"/>
  <c r="G62" i="5" s="1"/>
  <c r="I62" i="5" s="1"/>
  <c r="H61" i="5"/>
  <c r="E61" i="5"/>
  <c r="G61" i="5" s="1"/>
  <c r="I61" i="5" s="1"/>
  <c r="J60" i="5"/>
  <c r="H60" i="5"/>
  <c r="G60" i="5"/>
  <c r="I60" i="5" s="1"/>
  <c r="J59" i="5"/>
  <c r="H59" i="5"/>
  <c r="G59" i="5"/>
  <c r="I59" i="5" s="1"/>
  <c r="J58" i="5"/>
  <c r="H58" i="5"/>
  <c r="G58" i="5"/>
  <c r="I58" i="5" s="1"/>
  <c r="J57" i="5"/>
  <c r="H57" i="5"/>
  <c r="G57" i="5"/>
  <c r="I57" i="5" s="1"/>
  <c r="H56" i="5"/>
  <c r="G56" i="5"/>
  <c r="I56" i="5" s="1"/>
  <c r="E56" i="5"/>
  <c r="J56" i="5" s="1"/>
  <c r="H55" i="5"/>
  <c r="E55" i="5"/>
  <c r="H54" i="5"/>
  <c r="E54" i="5"/>
  <c r="H53" i="5"/>
  <c r="G53" i="5"/>
  <c r="I53" i="5" s="1"/>
  <c r="E53" i="5"/>
  <c r="J53" i="5" s="1"/>
  <c r="H52" i="5"/>
  <c r="G52" i="5"/>
  <c r="I52" i="5" s="1"/>
  <c r="E52" i="5"/>
  <c r="J52" i="5" s="1"/>
  <c r="F51" i="5"/>
  <c r="H49" i="5"/>
  <c r="G49" i="5"/>
  <c r="I49" i="5" s="1"/>
  <c r="E49" i="5"/>
  <c r="J49" i="5" s="1"/>
  <c r="H48" i="5"/>
  <c r="H47" i="5" s="1"/>
  <c r="H46" i="5" s="1"/>
  <c r="G48" i="5"/>
  <c r="I48" i="5" s="1"/>
  <c r="E48" i="5"/>
  <c r="J48" i="5" s="1"/>
  <c r="F47" i="5"/>
  <c r="F46" i="5" s="1"/>
  <c r="H45" i="5"/>
  <c r="E45" i="5"/>
  <c r="J45" i="5" s="1"/>
  <c r="H44" i="5"/>
  <c r="E44" i="5"/>
  <c r="J44" i="5" s="1"/>
  <c r="H43" i="5"/>
  <c r="G43" i="5"/>
  <c r="I43" i="5" s="1"/>
  <c r="E43" i="5"/>
  <c r="J43" i="5" s="1"/>
  <c r="I42" i="5"/>
  <c r="H42" i="5"/>
  <c r="G42" i="5"/>
  <c r="E42" i="5"/>
  <c r="J42" i="5" s="1"/>
  <c r="J41" i="5"/>
  <c r="H41" i="5"/>
  <c r="E41" i="5"/>
  <c r="G41" i="5" s="1"/>
  <c r="I41" i="5" s="1"/>
  <c r="H40" i="5"/>
  <c r="E40" i="5"/>
  <c r="J40" i="5" s="1"/>
  <c r="H39" i="5"/>
  <c r="G39" i="5"/>
  <c r="I39" i="5" s="1"/>
  <c r="E39" i="5"/>
  <c r="J39" i="5" s="1"/>
  <c r="H38" i="5"/>
  <c r="E38" i="5"/>
  <c r="J38" i="5" s="1"/>
  <c r="H37" i="5"/>
  <c r="E37" i="5"/>
  <c r="G37" i="5" s="1"/>
  <c r="I37" i="5" s="1"/>
  <c r="H36" i="5"/>
  <c r="G36" i="5"/>
  <c r="I36" i="5" s="1"/>
  <c r="E36" i="5"/>
  <c r="J36" i="5" s="1"/>
  <c r="H35" i="5"/>
  <c r="E35" i="5"/>
  <c r="J35" i="5" s="1"/>
  <c r="H34" i="5"/>
  <c r="E34" i="5"/>
  <c r="J34" i="5" s="1"/>
  <c r="H33" i="5"/>
  <c r="E33" i="5"/>
  <c r="J33" i="5" s="1"/>
  <c r="H32" i="5"/>
  <c r="E32" i="5"/>
  <c r="J32" i="5" s="1"/>
  <c r="H31" i="5"/>
  <c r="E31" i="5"/>
  <c r="J31" i="5" s="1"/>
  <c r="H30" i="5"/>
  <c r="E30" i="5"/>
  <c r="J30" i="5" s="1"/>
  <c r="H29" i="5"/>
  <c r="E29" i="5"/>
  <c r="G29" i="5" s="1"/>
  <c r="I29" i="5" s="1"/>
  <c r="H28" i="5"/>
  <c r="E28" i="5"/>
  <c r="J28" i="5" s="1"/>
  <c r="H27" i="5"/>
  <c r="E27" i="5"/>
  <c r="J27" i="5" s="1"/>
  <c r="H26" i="5"/>
  <c r="E26" i="5"/>
  <c r="J26" i="5" s="1"/>
  <c r="H25" i="5"/>
  <c r="E25" i="5"/>
  <c r="J25" i="5" s="1"/>
  <c r="H24" i="5"/>
  <c r="E24" i="5"/>
  <c r="J24" i="5" s="1"/>
  <c r="H23" i="5"/>
  <c r="G23" i="5"/>
  <c r="I23" i="5" s="1"/>
  <c r="E23" i="5"/>
  <c r="J23" i="5" s="1"/>
  <c r="H22" i="5"/>
  <c r="E22" i="5"/>
  <c r="J22" i="5" s="1"/>
  <c r="H21" i="5"/>
  <c r="E21" i="5"/>
  <c r="J21" i="5" s="1"/>
  <c r="F20" i="5"/>
  <c r="H19" i="5"/>
  <c r="E19" i="5"/>
  <c r="J19" i="5" s="1"/>
  <c r="H18" i="5"/>
  <c r="E18" i="5"/>
  <c r="J18" i="5" s="1"/>
  <c r="H17" i="5"/>
  <c r="E17" i="5"/>
  <c r="J17" i="5" s="1"/>
  <c r="H16" i="5"/>
  <c r="E16" i="5"/>
  <c r="J16" i="5" s="1"/>
  <c r="H15" i="5"/>
  <c r="E15" i="5"/>
  <c r="J15" i="5" s="1"/>
  <c r="H14" i="5"/>
  <c r="E14" i="5"/>
  <c r="G14" i="5" s="1"/>
  <c r="I14" i="5" s="1"/>
  <c r="H13" i="5"/>
  <c r="G13" i="5"/>
  <c r="I13" i="5" s="1"/>
  <c r="E13" i="5"/>
  <c r="J13" i="5" s="1"/>
  <c r="G77" i="5" l="1"/>
  <c r="I77" i="5" s="1"/>
  <c r="G119" i="5"/>
  <c r="I119" i="5" s="1"/>
  <c r="G131" i="5"/>
  <c r="I131" i="5" s="1"/>
  <c r="I130" i="5" s="1"/>
  <c r="G154" i="5"/>
  <c r="I154" i="5" s="1"/>
  <c r="G261" i="5"/>
  <c r="I261" i="5" s="1"/>
  <c r="H255" i="5"/>
  <c r="G293" i="5"/>
  <c r="I293" i="5" s="1"/>
  <c r="G313" i="5"/>
  <c r="I313" i="5" s="1"/>
  <c r="H356" i="5"/>
  <c r="G21" i="7"/>
  <c r="I21" i="7" s="1"/>
  <c r="G25" i="7"/>
  <c r="I25" i="7" s="1"/>
  <c r="G29" i="7"/>
  <c r="I29" i="7" s="1"/>
  <c r="G33" i="7"/>
  <c r="I33" i="7" s="1"/>
  <c r="G37" i="7"/>
  <c r="I37" i="7" s="1"/>
  <c r="G41" i="7"/>
  <c r="I41" i="7" s="1"/>
  <c r="G45" i="7"/>
  <c r="I45" i="7" s="1"/>
  <c r="G60" i="7"/>
  <c r="I60" i="7" s="1"/>
  <c r="G64" i="7"/>
  <c r="I64" i="7" s="1"/>
  <c r="J65" i="7"/>
  <c r="J74" i="7"/>
  <c r="J72" i="7" s="1"/>
  <c r="J85" i="7"/>
  <c r="J99" i="7"/>
  <c r="J103" i="7"/>
  <c r="J98" i="7" s="1"/>
  <c r="J119" i="7"/>
  <c r="J117" i="7" s="1"/>
  <c r="H200" i="7"/>
  <c r="I205" i="7"/>
  <c r="J209" i="7"/>
  <c r="H237" i="7"/>
  <c r="H387" i="7"/>
  <c r="G124" i="5"/>
  <c r="I124" i="5" s="1"/>
  <c r="I123" i="5" s="1"/>
  <c r="G128" i="5"/>
  <c r="I128" i="5" s="1"/>
  <c r="G177" i="5"/>
  <c r="I177" i="5" s="1"/>
  <c r="G183" i="5"/>
  <c r="I183" i="5" s="1"/>
  <c r="G186" i="5"/>
  <c r="I186" i="5" s="1"/>
  <c r="H227" i="5"/>
  <c r="G34" i="5"/>
  <c r="I34" i="5" s="1"/>
  <c r="G67" i="5"/>
  <c r="I67" i="5" s="1"/>
  <c r="G115" i="5"/>
  <c r="I115" i="5" s="1"/>
  <c r="G116" i="5"/>
  <c r="I116" i="5" s="1"/>
  <c r="I114" i="5" s="1"/>
  <c r="J126" i="5"/>
  <c r="H130" i="5"/>
  <c r="G139" i="5"/>
  <c r="I139" i="5" s="1"/>
  <c r="I137" i="5" s="1"/>
  <c r="G140" i="5"/>
  <c r="I140" i="5" s="1"/>
  <c r="G149" i="5"/>
  <c r="G150" i="5"/>
  <c r="I150" i="5" s="1"/>
  <c r="G152" i="5"/>
  <c r="I152" i="5" s="1"/>
  <c r="F158" i="5"/>
  <c r="G164" i="5"/>
  <c r="I164" i="5" s="1"/>
  <c r="G182" i="5"/>
  <c r="I182" i="5" s="1"/>
  <c r="F190" i="5"/>
  <c r="G193" i="5"/>
  <c r="I193" i="5" s="1"/>
  <c r="H223" i="5"/>
  <c r="G235" i="5"/>
  <c r="I235" i="5" s="1"/>
  <c r="G245" i="5"/>
  <c r="I245" i="5" s="1"/>
  <c r="G257" i="5"/>
  <c r="I257" i="5" s="1"/>
  <c r="G305" i="5"/>
  <c r="I305" i="5" s="1"/>
  <c r="J325" i="5"/>
  <c r="J341" i="5"/>
  <c r="J359" i="5"/>
  <c r="J356" i="5" s="1"/>
  <c r="J365" i="5"/>
  <c r="H114" i="7"/>
  <c r="H129" i="7"/>
  <c r="J132" i="7"/>
  <c r="J200" i="7"/>
  <c r="H338" i="7"/>
  <c r="H381" i="7"/>
  <c r="H380" i="7" s="1"/>
  <c r="G35" i="5"/>
  <c r="I35" i="5" s="1"/>
  <c r="G65" i="5"/>
  <c r="I65" i="5" s="1"/>
  <c r="G106" i="5"/>
  <c r="I106" i="5" s="1"/>
  <c r="G147" i="5"/>
  <c r="I147" i="5" s="1"/>
  <c r="G153" i="5"/>
  <c r="I153" i="5" s="1"/>
  <c r="G171" i="5"/>
  <c r="I171" i="5" s="1"/>
  <c r="I170" i="5" s="1"/>
  <c r="G184" i="5"/>
  <c r="I184" i="5" s="1"/>
  <c r="G194" i="5"/>
  <c r="I194" i="5" s="1"/>
  <c r="G215" i="5"/>
  <c r="I215" i="5" s="1"/>
  <c r="G231" i="5"/>
  <c r="I231" i="5" s="1"/>
  <c r="G243" i="5"/>
  <c r="I243" i="5" s="1"/>
  <c r="G79" i="5"/>
  <c r="I79" i="5" s="1"/>
  <c r="J95" i="5"/>
  <c r="J89" i="5" s="1"/>
  <c r="J88" i="5" s="1"/>
  <c r="J97" i="5"/>
  <c r="J96" i="5" s="1"/>
  <c r="J162" i="5"/>
  <c r="J260" i="5"/>
  <c r="J269" i="5"/>
  <c r="J277" i="5"/>
  <c r="J322" i="5"/>
  <c r="J338" i="5"/>
  <c r="J354" i="5"/>
  <c r="J375" i="5"/>
  <c r="J381" i="5"/>
  <c r="J82" i="7"/>
  <c r="J94" i="7"/>
  <c r="H191" i="7"/>
  <c r="J84" i="5"/>
  <c r="G84" i="5"/>
  <c r="I84" i="5" s="1"/>
  <c r="I74" i="5" s="1"/>
  <c r="J166" i="5"/>
  <c r="J165" i="5" s="1"/>
  <c r="G166" i="5"/>
  <c r="I166" i="5" s="1"/>
  <c r="I165" i="5" s="1"/>
  <c r="J233" i="5"/>
  <c r="G233" i="5"/>
  <c r="I233" i="5" s="1"/>
  <c r="G22" i="5"/>
  <c r="I22" i="5" s="1"/>
  <c r="G367" i="5"/>
  <c r="I367" i="5" s="1"/>
  <c r="J367" i="5"/>
  <c r="H421" i="5"/>
  <c r="J141" i="5"/>
  <c r="G141" i="5"/>
  <c r="I141" i="5" s="1"/>
  <c r="G170" i="5"/>
  <c r="I73" i="7"/>
  <c r="G72" i="7"/>
  <c r="G33" i="5"/>
  <c r="I33" i="5" s="1"/>
  <c r="G38" i="5"/>
  <c r="I38" i="5" s="1"/>
  <c r="J55" i="5"/>
  <c r="G55" i="5"/>
  <c r="I55" i="5" s="1"/>
  <c r="G144" i="5"/>
  <c r="I144" i="5" s="1"/>
  <c r="J146" i="5"/>
  <c r="J145" i="5" s="1"/>
  <c r="G146" i="5"/>
  <c r="I146" i="5" s="1"/>
  <c r="I145" i="5" s="1"/>
  <c r="G163" i="5"/>
  <c r="H170" i="5"/>
  <c r="G192" i="5"/>
  <c r="G200" i="5"/>
  <c r="I200" i="5" s="1"/>
  <c r="G17" i="5"/>
  <c r="I17" i="5" s="1"/>
  <c r="G26" i="5"/>
  <c r="I26" i="5" s="1"/>
  <c r="G28" i="5"/>
  <c r="I28" i="5" s="1"/>
  <c r="G31" i="5"/>
  <c r="I31" i="5" s="1"/>
  <c r="G44" i="5"/>
  <c r="I44" i="5" s="1"/>
  <c r="G45" i="5"/>
  <c r="I45" i="5" s="1"/>
  <c r="J47" i="5"/>
  <c r="J46" i="5" s="1"/>
  <c r="J54" i="5"/>
  <c r="G54" i="5"/>
  <c r="I54" i="5" s="1"/>
  <c r="I51" i="5" s="1"/>
  <c r="H89" i="5"/>
  <c r="H88" i="5" s="1"/>
  <c r="H98" i="5"/>
  <c r="G102" i="5"/>
  <c r="I102" i="5" s="1"/>
  <c r="G117" i="5"/>
  <c r="I117" i="5" s="1"/>
  <c r="J121" i="5"/>
  <c r="G121" i="5"/>
  <c r="I121" i="5" s="1"/>
  <c r="H126" i="5"/>
  <c r="G135" i="5"/>
  <c r="I135" i="5" s="1"/>
  <c r="I133" i="5" s="1"/>
  <c r="G143" i="5"/>
  <c r="I143" i="5" s="1"/>
  <c r="H151" i="5"/>
  <c r="J155" i="5"/>
  <c r="J151" i="5" s="1"/>
  <c r="G155" i="5"/>
  <c r="I155" i="5" s="1"/>
  <c r="H159" i="5"/>
  <c r="G176" i="5"/>
  <c r="I176" i="5" s="1"/>
  <c r="J199" i="5"/>
  <c r="G199" i="5"/>
  <c r="I199" i="5" s="1"/>
  <c r="H209" i="5"/>
  <c r="G217" i="5"/>
  <c r="I217" i="5" s="1"/>
  <c r="G219" i="5"/>
  <c r="I219" i="5" s="1"/>
  <c r="J221" i="5"/>
  <c r="J218" i="5" s="1"/>
  <c r="G221" i="5"/>
  <c r="I221" i="5" s="1"/>
  <c r="J271" i="5"/>
  <c r="G271" i="5"/>
  <c r="I271" i="5" s="1"/>
  <c r="J279" i="5"/>
  <c r="G279" i="5"/>
  <c r="I279" i="5" s="1"/>
  <c r="G285" i="5"/>
  <c r="I285" i="5" s="1"/>
  <c r="J285" i="5"/>
  <c r="G393" i="5"/>
  <c r="I393" i="5" s="1"/>
  <c r="J393" i="5"/>
  <c r="H82" i="7"/>
  <c r="J125" i="5"/>
  <c r="J123" i="5" s="1"/>
  <c r="G125" i="5"/>
  <c r="I125" i="5" s="1"/>
  <c r="G284" i="5"/>
  <c r="I284" i="5" s="1"/>
  <c r="J284" i="5"/>
  <c r="I172" i="7"/>
  <c r="G169" i="7"/>
  <c r="G15" i="5"/>
  <c r="I15" i="5" s="1"/>
  <c r="G32" i="5"/>
  <c r="I32" i="5" s="1"/>
  <c r="G90" i="5"/>
  <c r="I90" i="5" s="1"/>
  <c r="I89" i="5" s="1"/>
  <c r="J100" i="5"/>
  <c r="G100" i="5"/>
  <c r="I100" i="5" s="1"/>
  <c r="G118" i="5"/>
  <c r="I118" i="5" s="1"/>
  <c r="J122" i="5"/>
  <c r="J114" i="5" s="1"/>
  <c r="G122" i="5"/>
  <c r="I122" i="5" s="1"/>
  <c r="G127" i="5"/>
  <c r="J156" i="5"/>
  <c r="G156" i="5"/>
  <c r="I156" i="5" s="1"/>
  <c r="J247" i="5"/>
  <c r="G247" i="5"/>
  <c r="I247" i="5" s="1"/>
  <c r="G253" i="5"/>
  <c r="I253" i="5" s="1"/>
  <c r="J253" i="5"/>
  <c r="G329" i="5"/>
  <c r="I329" i="5" s="1"/>
  <c r="J329" i="5"/>
  <c r="G345" i="5"/>
  <c r="I345" i="5" s="1"/>
  <c r="J345" i="5"/>
  <c r="H20" i="5"/>
  <c r="G27" i="5"/>
  <c r="I27" i="5" s="1"/>
  <c r="G19" i="5"/>
  <c r="I19" i="5" s="1"/>
  <c r="G24" i="5"/>
  <c r="I24" i="5" s="1"/>
  <c r="G25" i="5"/>
  <c r="I25" i="5" s="1"/>
  <c r="G30" i="5"/>
  <c r="I30" i="5" s="1"/>
  <c r="G40" i="5"/>
  <c r="I40" i="5" s="1"/>
  <c r="G63" i="5"/>
  <c r="J86" i="5"/>
  <c r="G86" i="5"/>
  <c r="I86" i="5" s="1"/>
  <c r="G101" i="5"/>
  <c r="I101" i="5" s="1"/>
  <c r="J101" i="5"/>
  <c r="J105" i="5"/>
  <c r="J134" i="5"/>
  <c r="J133" i="5" s="1"/>
  <c r="G134" i="5"/>
  <c r="I134" i="5" s="1"/>
  <c r="J142" i="5"/>
  <c r="G142" i="5"/>
  <c r="I142" i="5" s="1"/>
  <c r="J169" i="5"/>
  <c r="G169" i="5"/>
  <c r="I169" i="5" s="1"/>
  <c r="I175" i="5"/>
  <c r="I174" i="5" s="1"/>
  <c r="G174" i="5"/>
  <c r="J187" i="5"/>
  <c r="G187" i="5"/>
  <c r="I187" i="5" s="1"/>
  <c r="J198" i="5"/>
  <c r="J191" i="5" s="1"/>
  <c r="G198" i="5"/>
  <c r="I198" i="5" s="1"/>
  <c r="J211" i="5"/>
  <c r="G211" i="5"/>
  <c r="I211" i="5" s="1"/>
  <c r="G252" i="5"/>
  <c r="I252" i="5" s="1"/>
  <c r="J252" i="5"/>
  <c r="J289" i="5"/>
  <c r="G289" i="5"/>
  <c r="I289" i="5" s="1"/>
  <c r="H308" i="5"/>
  <c r="G321" i="5"/>
  <c r="I321" i="5" s="1"/>
  <c r="J321" i="5"/>
  <c r="G337" i="5"/>
  <c r="I337" i="5" s="1"/>
  <c r="J337" i="5"/>
  <c r="G353" i="5"/>
  <c r="I353" i="5" s="1"/>
  <c r="J353" i="5"/>
  <c r="G389" i="5"/>
  <c r="I389" i="5" s="1"/>
  <c r="J389" i="5"/>
  <c r="J417" i="5"/>
  <c r="G417" i="5"/>
  <c r="I417" i="5" s="1"/>
  <c r="J137" i="5"/>
  <c r="J136" i="5" s="1"/>
  <c r="J204" i="5"/>
  <c r="J209" i="5"/>
  <c r="H276" i="5"/>
  <c r="J318" i="5"/>
  <c r="J326" i="5"/>
  <c r="J334" i="5"/>
  <c r="J342" i="5"/>
  <c r="J350" i="5"/>
  <c r="J373" i="5"/>
  <c r="J12" i="7"/>
  <c r="H20" i="7"/>
  <c r="H205" i="7"/>
  <c r="J258" i="7"/>
  <c r="H373" i="7"/>
  <c r="H397" i="7"/>
  <c r="H376" i="5"/>
  <c r="H414" i="5"/>
  <c r="H410" i="5" s="1"/>
  <c r="H110" i="7"/>
  <c r="H121" i="7"/>
  <c r="J121" i="7"/>
  <c r="H135" i="7"/>
  <c r="J143" i="7"/>
  <c r="G149" i="7"/>
  <c r="J151" i="7"/>
  <c r="H163" i="7"/>
  <c r="H209" i="7"/>
  <c r="J338" i="7"/>
  <c r="H390" i="7"/>
  <c r="J390" i="7"/>
  <c r="H63" i="5"/>
  <c r="F88" i="5"/>
  <c r="H114" i="5"/>
  <c r="J167" i="5"/>
  <c r="H174" i="5"/>
  <c r="H185" i="5"/>
  <c r="H191" i="5"/>
  <c r="H190" i="5" s="1"/>
  <c r="H218" i="5"/>
  <c r="G241" i="5"/>
  <c r="I241" i="5" s="1"/>
  <c r="G249" i="5"/>
  <c r="I249" i="5" s="1"/>
  <c r="G263" i="5"/>
  <c r="I263" i="5" s="1"/>
  <c r="G273" i="5"/>
  <c r="I273" i="5" s="1"/>
  <c r="G281" i="5"/>
  <c r="I281" i="5" s="1"/>
  <c r="J292" i="5"/>
  <c r="G303" i="5"/>
  <c r="I303" i="5" s="1"/>
  <c r="G311" i="5"/>
  <c r="I311" i="5" s="1"/>
  <c r="H360" i="5"/>
  <c r="H399" i="5"/>
  <c r="H398" i="5" s="1"/>
  <c r="G419" i="5"/>
  <c r="I419" i="5" s="1"/>
  <c r="H51" i="7"/>
  <c r="F75" i="7"/>
  <c r="H107" i="7"/>
  <c r="H117" i="7"/>
  <c r="H91" i="7" s="1"/>
  <c r="H132" i="7"/>
  <c r="J191" i="7"/>
  <c r="G373" i="7"/>
  <c r="J387" i="7"/>
  <c r="J386" i="7" s="1"/>
  <c r="H47" i="7"/>
  <c r="H46" i="7" s="1"/>
  <c r="G76" i="7"/>
  <c r="G110" i="7"/>
  <c r="G135" i="7"/>
  <c r="H146" i="7"/>
  <c r="J146" i="7"/>
  <c r="H154" i="7"/>
  <c r="J158" i="7"/>
  <c r="J174" i="7"/>
  <c r="G186" i="7"/>
  <c r="G338" i="7"/>
  <c r="G121" i="7"/>
  <c r="G120" i="7" s="1"/>
  <c r="G12" i="7"/>
  <c r="H186" i="7"/>
  <c r="J186" i="7"/>
  <c r="G191" i="7"/>
  <c r="G200" i="7"/>
  <c r="G358" i="7"/>
  <c r="J358" i="7"/>
  <c r="J20" i="7"/>
  <c r="H58" i="7"/>
  <c r="H151" i="7"/>
  <c r="J163" i="7"/>
  <c r="H169" i="7"/>
  <c r="F173" i="7"/>
  <c r="I200" i="7"/>
  <c r="K204" i="7" s="1"/>
  <c r="J205" i="7"/>
  <c r="G209" i="7"/>
  <c r="J237" i="7"/>
  <c r="G342" i="7"/>
  <c r="G381" i="7"/>
  <c r="G380" i="7" s="1"/>
  <c r="G387" i="7"/>
  <c r="G397" i="7"/>
  <c r="I381" i="7"/>
  <c r="I380" i="7" s="1"/>
  <c r="G92" i="7"/>
  <c r="H94" i="7"/>
  <c r="H98" i="7"/>
  <c r="G129" i="7"/>
  <c r="G290" i="7"/>
  <c r="G390" i="7"/>
  <c r="G47" i="7"/>
  <c r="G46" i="7" s="1"/>
  <c r="H72" i="7"/>
  <c r="J154" i="7"/>
  <c r="G158" i="7"/>
  <c r="J373" i="7"/>
  <c r="J58" i="7"/>
  <c r="H65" i="7"/>
  <c r="G107" i="7"/>
  <c r="I129" i="7"/>
  <c r="K130" i="7" s="1"/>
  <c r="I132" i="7"/>
  <c r="K137" i="7" s="1"/>
  <c r="J135" i="7"/>
  <c r="G151" i="7"/>
  <c r="H158" i="7"/>
  <c r="G163" i="7"/>
  <c r="G174" i="7"/>
  <c r="K207" i="7"/>
  <c r="G237" i="7"/>
  <c r="H258" i="7"/>
  <c r="H290" i="7"/>
  <c r="J290" i="7"/>
  <c r="G20" i="7"/>
  <c r="G80" i="7"/>
  <c r="G94" i="7"/>
  <c r="K131" i="7"/>
  <c r="K134" i="7"/>
  <c r="K208" i="7"/>
  <c r="I397" i="7"/>
  <c r="K398" i="7" s="1"/>
  <c r="I390" i="7"/>
  <c r="K392" i="7" s="1"/>
  <c r="F386" i="7"/>
  <c r="I342" i="7"/>
  <c r="K357" i="7" s="1"/>
  <c r="I338" i="7"/>
  <c r="K340" i="7" s="1"/>
  <c r="I290" i="7"/>
  <c r="K335" i="7" s="1"/>
  <c r="G258" i="7"/>
  <c r="I237" i="7"/>
  <c r="K249" i="7" s="1"/>
  <c r="I209" i="7"/>
  <c r="K216" i="7" s="1"/>
  <c r="K214" i="7"/>
  <c r="K234" i="7"/>
  <c r="K211" i="7"/>
  <c r="K227" i="7"/>
  <c r="K235" i="7"/>
  <c r="G205" i="7"/>
  <c r="K206" i="7"/>
  <c r="K201" i="7"/>
  <c r="I191" i="7"/>
  <c r="K196" i="7" s="1"/>
  <c r="I186" i="7"/>
  <c r="K190" i="7" s="1"/>
  <c r="G132" i="7"/>
  <c r="F120" i="7"/>
  <c r="I163" i="7"/>
  <c r="K164" i="7" s="1"/>
  <c r="G154" i="7"/>
  <c r="F142" i="7"/>
  <c r="G146" i="7"/>
  <c r="J120" i="7"/>
  <c r="I121" i="7"/>
  <c r="J114" i="7"/>
  <c r="G143" i="7"/>
  <c r="I135" i="7"/>
  <c r="K136" i="7" s="1"/>
  <c r="I110" i="7"/>
  <c r="K111" i="7" s="1"/>
  <c r="I107" i="7"/>
  <c r="K109" i="7" s="1"/>
  <c r="G98" i="7"/>
  <c r="F91" i="7"/>
  <c r="G82" i="7"/>
  <c r="H76" i="7"/>
  <c r="H75" i="7" s="1"/>
  <c r="F50" i="7"/>
  <c r="G65" i="7"/>
  <c r="G51" i="7"/>
  <c r="J51" i="7"/>
  <c r="I51" i="7"/>
  <c r="K54" i="7" s="1"/>
  <c r="J47" i="7"/>
  <c r="J46" i="7" s="1"/>
  <c r="H174" i="7"/>
  <c r="H173" i="7" s="1"/>
  <c r="G117" i="7"/>
  <c r="I115" i="7"/>
  <c r="I114" i="7" s="1"/>
  <c r="K116" i="7" s="1"/>
  <c r="G114" i="7"/>
  <c r="I94" i="7"/>
  <c r="I82" i="7"/>
  <c r="K88" i="7" s="1"/>
  <c r="J76" i="7"/>
  <c r="J75" i="7" s="1"/>
  <c r="I72" i="7"/>
  <c r="K73" i="7" s="1"/>
  <c r="I65" i="7"/>
  <c r="K70" i="7" s="1"/>
  <c r="K67" i="7"/>
  <c r="G58" i="7"/>
  <c r="I47" i="7"/>
  <c r="I46" i="7" s="1"/>
  <c r="I12" i="7"/>
  <c r="I98" i="7"/>
  <c r="K104" i="7" s="1"/>
  <c r="I117" i="7"/>
  <c r="K118" i="7" s="1"/>
  <c r="I146" i="7"/>
  <c r="K148" i="7" s="1"/>
  <c r="I154" i="7"/>
  <c r="K155" i="7" s="1"/>
  <c r="I174" i="7"/>
  <c r="I373" i="7"/>
  <c r="K374" i="7" s="1"/>
  <c r="I20" i="7"/>
  <c r="I76" i="7"/>
  <c r="I143" i="7"/>
  <c r="K145" i="7" s="1"/>
  <c r="I258" i="7"/>
  <c r="K259" i="7" s="1"/>
  <c r="I358" i="7"/>
  <c r="K369" i="7" s="1"/>
  <c r="I387" i="7"/>
  <c r="I58" i="7"/>
  <c r="K61" i="7" s="1"/>
  <c r="I158" i="7"/>
  <c r="K160" i="7" s="1"/>
  <c r="I63" i="5"/>
  <c r="I47" i="5"/>
  <c r="I159" i="5"/>
  <c r="J14" i="5"/>
  <c r="J12" i="5" s="1"/>
  <c r="J29" i="5"/>
  <c r="J37" i="5"/>
  <c r="G16" i="5"/>
  <c r="I16" i="5" s="1"/>
  <c r="G18" i="5"/>
  <c r="I18" i="5" s="1"/>
  <c r="G21" i="5"/>
  <c r="F50" i="5"/>
  <c r="J76" i="5"/>
  <c r="J74" i="5" s="1"/>
  <c r="J99" i="5"/>
  <c r="J103" i="5"/>
  <c r="J109" i="5"/>
  <c r="J108" i="5" s="1"/>
  <c r="J174" i="5"/>
  <c r="J158" i="5" s="1"/>
  <c r="J179" i="5"/>
  <c r="J223" i="5"/>
  <c r="I111" i="5"/>
  <c r="G110" i="5"/>
  <c r="I167" i="5"/>
  <c r="I185" i="5"/>
  <c r="I99" i="5"/>
  <c r="I109" i="5"/>
  <c r="G108" i="5"/>
  <c r="J185" i="5"/>
  <c r="I85" i="5"/>
  <c r="I97" i="5"/>
  <c r="G96" i="5"/>
  <c r="I179" i="5"/>
  <c r="G47" i="5"/>
  <c r="G46" i="5" s="1"/>
  <c r="H51" i="5"/>
  <c r="J62" i="5"/>
  <c r="J51" i="5" s="1"/>
  <c r="J64" i="5"/>
  <c r="J63" i="5" s="1"/>
  <c r="J66" i="5"/>
  <c r="J68" i="5"/>
  <c r="H74" i="5"/>
  <c r="J87" i="5"/>
  <c r="J85" i="5" s="1"/>
  <c r="J111" i="5"/>
  <c r="J110" i="5" s="1"/>
  <c r="I357" i="5"/>
  <c r="G85" i="5"/>
  <c r="G206" i="5"/>
  <c r="I206" i="5" s="1"/>
  <c r="G208" i="5"/>
  <c r="I208" i="5" s="1"/>
  <c r="G210" i="5"/>
  <c r="G212" i="5"/>
  <c r="I212" i="5" s="1"/>
  <c r="G214" i="5"/>
  <c r="I214" i="5" s="1"/>
  <c r="G216" i="5"/>
  <c r="I216" i="5" s="1"/>
  <c r="G220" i="5"/>
  <c r="I220" i="5" s="1"/>
  <c r="G222" i="5"/>
  <c r="I222" i="5" s="1"/>
  <c r="G224" i="5"/>
  <c r="G226" i="5"/>
  <c r="I226" i="5" s="1"/>
  <c r="G228" i="5"/>
  <c r="G230" i="5"/>
  <c r="I230" i="5" s="1"/>
  <c r="G232" i="5"/>
  <c r="I232" i="5" s="1"/>
  <c r="G234" i="5"/>
  <c r="I234" i="5" s="1"/>
  <c r="G236" i="5"/>
  <c r="I236" i="5" s="1"/>
  <c r="G238" i="5"/>
  <c r="I238" i="5" s="1"/>
  <c r="G240" i="5"/>
  <c r="I240" i="5" s="1"/>
  <c r="G242" i="5"/>
  <c r="I242" i="5" s="1"/>
  <c r="G244" i="5"/>
  <c r="I244" i="5" s="1"/>
  <c r="G246" i="5"/>
  <c r="I246" i="5" s="1"/>
  <c r="G251" i="5"/>
  <c r="I251" i="5" s="1"/>
  <c r="J254" i="5"/>
  <c r="G259" i="5"/>
  <c r="I259" i="5" s="1"/>
  <c r="J262" i="5"/>
  <c r="G267" i="5"/>
  <c r="I267" i="5" s="1"/>
  <c r="J270" i="5"/>
  <c r="G275" i="5"/>
  <c r="I275" i="5" s="1"/>
  <c r="J278" i="5"/>
  <c r="G283" i="5"/>
  <c r="I283" i="5" s="1"/>
  <c r="J286" i="5"/>
  <c r="G291" i="5"/>
  <c r="I291" i="5" s="1"/>
  <c r="J294" i="5"/>
  <c r="G299" i="5"/>
  <c r="I299" i="5" s="1"/>
  <c r="J302" i="5"/>
  <c r="G307" i="5"/>
  <c r="I307" i="5" s="1"/>
  <c r="J310" i="5"/>
  <c r="G315" i="5"/>
  <c r="I315" i="5" s="1"/>
  <c r="J320" i="5"/>
  <c r="J324" i="5"/>
  <c r="J328" i="5"/>
  <c r="J332" i="5"/>
  <c r="J336" i="5"/>
  <c r="J340" i="5"/>
  <c r="J344" i="5"/>
  <c r="J348" i="5"/>
  <c r="J352" i="5"/>
  <c r="J361" i="5"/>
  <c r="J369" i="5"/>
  <c r="J377" i="5"/>
  <c r="J385" i="5"/>
  <c r="H391" i="5"/>
  <c r="J395" i="5"/>
  <c r="J414" i="5"/>
  <c r="I361" i="5"/>
  <c r="I377" i="5"/>
  <c r="I413" i="5"/>
  <c r="G411" i="5"/>
  <c r="J250" i="5"/>
  <c r="J258" i="5"/>
  <c r="J266" i="5"/>
  <c r="J274" i="5"/>
  <c r="J282" i="5"/>
  <c r="J290" i="5"/>
  <c r="J298" i="5"/>
  <c r="J306" i="5"/>
  <c r="J314" i="5"/>
  <c r="I277" i="5"/>
  <c r="I309" i="5"/>
  <c r="I415" i="5"/>
  <c r="G151" i="5"/>
  <c r="G159" i="5"/>
  <c r="G167" i="5"/>
  <c r="G179" i="5"/>
  <c r="J248" i="5"/>
  <c r="J256" i="5"/>
  <c r="J264" i="5"/>
  <c r="J272" i="5"/>
  <c r="J280" i="5"/>
  <c r="J288" i="5"/>
  <c r="J296" i="5"/>
  <c r="J304" i="5"/>
  <c r="J312" i="5"/>
  <c r="J319" i="5"/>
  <c r="J323" i="5"/>
  <c r="J327" i="5"/>
  <c r="J331" i="5"/>
  <c r="J335" i="5"/>
  <c r="J339" i="5"/>
  <c r="J343" i="5"/>
  <c r="J347" i="5"/>
  <c r="J351" i="5"/>
  <c r="J355" i="5"/>
  <c r="J363" i="5"/>
  <c r="J371" i="5"/>
  <c r="J379" i="5"/>
  <c r="J387" i="5"/>
  <c r="J397" i="5"/>
  <c r="J401" i="5"/>
  <c r="J399" i="5" s="1"/>
  <c r="J398" i="5" s="1"/>
  <c r="J421" i="5"/>
  <c r="G358" i="5"/>
  <c r="I358" i="5" s="1"/>
  <c r="G362" i="5"/>
  <c r="I362" i="5" s="1"/>
  <c r="G364" i="5"/>
  <c r="I364" i="5" s="1"/>
  <c r="G366" i="5"/>
  <c r="I366" i="5" s="1"/>
  <c r="G368" i="5"/>
  <c r="I368" i="5" s="1"/>
  <c r="G370" i="5"/>
  <c r="I370" i="5" s="1"/>
  <c r="G372" i="5"/>
  <c r="I372" i="5" s="1"/>
  <c r="G374" i="5"/>
  <c r="I374" i="5" s="1"/>
  <c r="G378" i="5"/>
  <c r="I378" i="5" s="1"/>
  <c r="G380" i="5"/>
  <c r="I380" i="5" s="1"/>
  <c r="G382" i="5"/>
  <c r="I382" i="5" s="1"/>
  <c r="G384" i="5"/>
  <c r="I384" i="5" s="1"/>
  <c r="G386" i="5"/>
  <c r="I386" i="5" s="1"/>
  <c r="G388" i="5"/>
  <c r="I388" i="5" s="1"/>
  <c r="G390" i="5"/>
  <c r="I390" i="5" s="1"/>
  <c r="G392" i="5"/>
  <c r="G394" i="5"/>
  <c r="I394" i="5" s="1"/>
  <c r="G396" i="5"/>
  <c r="I396" i="5" s="1"/>
  <c r="G400" i="5"/>
  <c r="G402" i="5"/>
  <c r="I402" i="5" s="1"/>
  <c r="G409" i="5"/>
  <c r="I409" i="5" s="1"/>
  <c r="G416" i="5"/>
  <c r="I416" i="5" s="1"/>
  <c r="G418" i="5"/>
  <c r="I418" i="5" s="1"/>
  <c r="G420" i="5"/>
  <c r="I420" i="5" s="1"/>
  <c r="G422" i="5"/>
  <c r="F425" i="5"/>
  <c r="H426" i="5"/>
  <c r="H425" i="5" s="1"/>
  <c r="G426" i="5"/>
  <c r="J91" i="7" l="1"/>
  <c r="G74" i="5"/>
  <c r="J190" i="5"/>
  <c r="K108" i="7"/>
  <c r="K371" i="7"/>
  <c r="I151" i="5"/>
  <c r="G98" i="5"/>
  <c r="K223" i="7"/>
  <c r="K230" i="7"/>
  <c r="K229" i="7"/>
  <c r="K203" i="7"/>
  <c r="K202" i="7"/>
  <c r="H120" i="7"/>
  <c r="H386" i="7"/>
  <c r="G130" i="5"/>
  <c r="G123" i="5"/>
  <c r="G114" i="5"/>
  <c r="H107" i="5"/>
  <c r="G145" i="5"/>
  <c r="G185" i="5"/>
  <c r="G133" i="5"/>
  <c r="J410" i="5"/>
  <c r="J20" i="5"/>
  <c r="K219" i="7"/>
  <c r="K218" i="7"/>
  <c r="K236" i="7"/>
  <c r="G75" i="7"/>
  <c r="G173" i="7"/>
  <c r="J173" i="7"/>
  <c r="H142" i="7"/>
  <c r="I149" i="5"/>
  <c r="I148" i="5" s="1"/>
  <c r="G148" i="5"/>
  <c r="G89" i="5"/>
  <c r="G88" i="5" s="1"/>
  <c r="G51" i="5"/>
  <c r="K113" i="7"/>
  <c r="K228" i="7"/>
  <c r="H50" i="7"/>
  <c r="G386" i="7"/>
  <c r="K385" i="7"/>
  <c r="I127" i="5"/>
  <c r="I126" i="5" s="1"/>
  <c r="G126" i="5"/>
  <c r="H158" i="5"/>
  <c r="I192" i="5"/>
  <c r="I191" i="5" s="1"/>
  <c r="K194" i="5" s="1"/>
  <c r="G191" i="5"/>
  <c r="J227" i="5"/>
  <c r="G255" i="5"/>
  <c r="G137" i="5"/>
  <c r="G276" i="5"/>
  <c r="K112" i="7"/>
  <c r="I120" i="7"/>
  <c r="I169" i="7"/>
  <c r="K187" i="7"/>
  <c r="K222" i="7"/>
  <c r="K233" i="7"/>
  <c r="K399" i="7"/>
  <c r="I163" i="5"/>
  <c r="I162" i="5" s="1"/>
  <c r="G162" i="5"/>
  <c r="I406" i="7"/>
  <c r="G165" i="5"/>
  <c r="G308" i="5"/>
  <c r="J391" i="5"/>
  <c r="G204" i="5"/>
  <c r="J50" i="5"/>
  <c r="I404" i="7"/>
  <c r="K367" i="7"/>
  <c r="K382" i="7"/>
  <c r="K18" i="7"/>
  <c r="K85" i="7"/>
  <c r="K157" i="7"/>
  <c r="K188" i="7"/>
  <c r="K231" i="7"/>
  <c r="K215" i="7"/>
  <c r="K226" i="7"/>
  <c r="K210" i="7"/>
  <c r="K225" i="7"/>
  <c r="K220" i="7"/>
  <c r="K238" i="7"/>
  <c r="K368" i="7"/>
  <c r="K400" i="7"/>
  <c r="J142" i="7"/>
  <c r="K384" i="7"/>
  <c r="K250" i="7"/>
  <c r="K266" i="7"/>
  <c r="G50" i="7"/>
  <c r="K147" i="7"/>
  <c r="K161" i="7"/>
  <c r="K213" i="7"/>
  <c r="K212" i="7"/>
  <c r="K52" i="7"/>
  <c r="K123" i="7"/>
  <c r="K239" i="7"/>
  <c r="K328" i="7"/>
  <c r="K334" i="7"/>
  <c r="K295" i="7"/>
  <c r="K64" i="7"/>
  <c r="K74" i="7"/>
  <c r="K83" i="7"/>
  <c r="K103" i="7"/>
  <c r="J50" i="7"/>
  <c r="K128" i="7"/>
  <c r="K127" i="7"/>
  <c r="K156" i="7"/>
  <c r="K217" i="7"/>
  <c r="K224" i="7"/>
  <c r="K243" i="7"/>
  <c r="K242" i="7"/>
  <c r="K244" i="7"/>
  <c r="K307" i="7"/>
  <c r="K317" i="7"/>
  <c r="K296" i="7"/>
  <c r="K364" i="7"/>
  <c r="K383" i="7"/>
  <c r="K125" i="7"/>
  <c r="K312" i="7"/>
  <c r="I386" i="7"/>
  <c r="K388" i="7" s="1"/>
  <c r="K55" i="7"/>
  <c r="K53" i="7"/>
  <c r="K126" i="7"/>
  <c r="K122" i="7"/>
  <c r="K133" i="7"/>
  <c r="K247" i="7"/>
  <c r="K246" i="7"/>
  <c r="K323" i="7"/>
  <c r="K333" i="7"/>
  <c r="K301" i="7"/>
  <c r="K360" i="7"/>
  <c r="K318" i="7"/>
  <c r="K57" i="7"/>
  <c r="K59" i="7"/>
  <c r="K124" i="7"/>
  <c r="K396" i="7"/>
  <c r="K393" i="7"/>
  <c r="K391" i="7"/>
  <c r="K394" i="7"/>
  <c r="K395" i="7"/>
  <c r="K376" i="7"/>
  <c r="K377" i="7"/>
  <c r="K378" i="7"/>
  <c r="K379" i="7"/>
  <c r="K375" i="7"/>
  <c r="K372" i="7"/>
  <c r="K362" i="7"/>
  <c r="K361" i="7"/>
  <c r="K359" i="7"/>
  <c r="K366" i="7"/>
  <c r="K365" i="7"/>
  <c r="K363" i="7"/>
  <c r="K370" i="7"/>
  <c r="K348" i="7"/>
  <c r="K347" i="7"/>
  <c r="K350" i="7"/>
  <c r="K349" i="7"/>
  <c r="K344" i="7"/>
  <c r="K345" i="7"/>
  <c r="K352" i="7"/>
  <c r="K351" i="7"/>
  <c r="K354" i="7"/>
  <c r="K353" i="7"/>
  <c r="K346" i="7"/>
  <c r="K356" i="7"/>
  <c r="K355" i="7"/>
  <c r="K343" i="7"/>
  <c r="K341" i="7"/>
  <c r="K327" i="7"/>
  <c r="K311" i="7"/>
  <c r="K332" i="7"/>
  <c r="K316" i="7"/>
  <c r="K337" i="7"/>
  <c r="K321" i="7"/>
  <c r="K305" i="7"/>
  <c r="K322" i="7"/>
  <c r="K306" i="7"/>
  <c r="K300" i="7"/>
  <c r="K299" i="7"/>
  <c r="K294" i="7"/>
  <c r="K336" i="7"/>
  <c r="K304" i="7"/>
  <c r="K309" i="7"/>
  <c r="K310" i="7"/>
  <c r="K303" i="7"/>
  <c r="K331" i="7"/>
  <c r="K315" i="7"/>
  <c r="K320" i="7"/>
  <c r="K325" i="7"/>
  <c r="K326" i="7"/>
  <c r="K293" i="7"/>
  <c r="K298" i="7"/>
  <c r="K319" i="7"/>
  <c r="K291" i="7"/>
  <c r="K324" i="7"/>
  <c r="K308" i="7"/>
  <c r="K329" i="7"/>
  <c r="K313" i="7"/>
  <c r="K330" i="7"/>
  <c r="K314" i="7"/>
  <c r="K297" i="7"/>
  <c r="K292" i="7"/>
  <c r="K302" i="7"/>
  <c r="K263" i="7"/>
  <c r="K265" i="7"/>
  <c r="K262" i="7"/>
  <c r="K264" i="7"/>
  <c r="K260" i="7"/>
  <c r="K286" i="7"/>
  <c r="K282" i="7"/>
  <c r="K278" i="7"/>
  <c r="K274" i="7"/>
  <c r="K270" i="7"/>
  <c r="K287" i="7"/>
  <c r="K283" i="7"/>
  <c r="K279" i="7"/>
  <c r="K275" i="7"/>
  <c r="K271" i="7"/>
  <c r="K288" i="7"/>
  <c r="K284" i="7"/>
  <c r="K280" i="7"/>
  <c r="K276" i="7"/>
  <c r="K272" i="7"/>
  <c r="K268" i="7"/>
  <c r="K289" i="7"/>
  <c r="K285" i="7"/>
  <c r="K281" i="7"/>
  <c r="K277" i="7"/>
  <c r="K273" i="7"/>
  <c r="K269" i="7"/>
  <c r="K261" i="7"/>
  <c r="K267" i="7"/>
  <c r="K257" i="7"/>
  <c r="K253" i="7"/>
  <c r="K254" i="7"/>
  <c r="K255" i="7"/>
  <c r="K256" i="7"/>
  <c r="K252" i="7"/>
  <c r="K241" i="7"/>
  <c r="K251" i="7"/>
  <c r="K248" i="7"/>
  <c r="K240" i="7"/>
  <c r="K245" i="7"/>
  <c r="K221" i="7"/>
  <c r="K232" i="7"/>
  <c r="K198" i="7"/>
  <c r="K197" i="7"/>
  <c r="K192" i="7"/>
  <c r="K199" i="7"/>
  <c r="K195" i="7"/>
  <c r="K193" i="7"/>
  <c r="K194" i="7"/>
  <c r="K189" i="7"/>
  <c r="K168" i="7"/>
  <c r="K166" i="7"/>
  <c r="K165" i="7"/>
  <c r="K167" i="7"/>
  <c r="K162" i="7"/>
  <c r="K159" i="7"/>
  <c r="G142" i="7"/>
  <c r="K144" i="7"/>
  <c r="K141" i="7"/>
  <c r="K139" i="7"/>
  <c r="K140" i="7"/>
  <c r="K138" i="7"/>
  <c r="K101" i="7"/>
  <c r="G91" i="7"/>
  <c r="K105" i="7"/>
  <c r="K99" i="7"/>
  <c r="K56" i="7"/>
  <c r="I91" i="7"/>
  <c r="I173" i="7"/>
  <c r="K182" i="7"/>
  <c r="K178" i="7"/>
  <c r="K183" i="7"/>
  <c r="K179" i="7"/>
  <c r="K184" i="7"/>
  <c r="K180" i="7"/>
  <c r="K185" i="7"/>
  <c r="K181" i="7"/>
  <c r="K177" i="7"/>
  <c r="K175" i="7"/>
  <c r="K176" i="7"/>
  <c r="K119" i="7"/>
  <c r="K115" i="7"/>
  <c r="K102" i="7"/>
  <c r="K100" i="7"/>
  <c r="K106" i="7"/>
  <c r="K89" i="7"/>
  <c r="K87" i="7"/>
  <c r="K86" i="7"/>
  <c r="K84" i="7"/>
  <c r="K90" i="7"/>
  <c r="I75" i="7"/>
  <c r="K79" i="7"/>
  <c r="K78" i="7"/>
  <c r="K77" i="7"/>
  <c r="K71" i="7"/>
  <c r="K66" i="7"/>
  <c r="K68" i="7"/>
  <c r="K69" i="7"/>
  <c r="I50" i="7"/>
  <c r="K62" i="7"/>
  <c r="K63" i="7"/>
  <c r="K60" i="7"/>
  <c r="K49" i="7"/>
  <c r="K46" i="7"/>
  <c r="K47" i="7"/>
  <c r="K48" i="7"/>
  <c r="K35" i="7"/>
  <c r="K42" i="7"/>
  <c r="K26" i="7"/>
  <c r="K37" i="7"/>
  <c r="K21" i="7"/>
  <c r="K32" i="7"/>
  <c r="K39" i="7"/>
  <c r="K23" i="7"/>
  <c r="K30" i="7"/>
  <c r="K41" i="7"/>
  <c r="K25" i="7"/>
  <c r="K36" i="7"/>
  <c r="K43" i="7"/>
  <c r="K27" i="7"/>
  <c r="K34" i="7"/>
  <c r="K45" i="7"/>
  <c r="K29" i="7"/>
  <c r="K40" i="7"/>
  <c r="K24" i="7"/>
  <c r="K31" i="7"/>
  <c r="K38" i="7"/>
  <c r="K22" i="7"/>
  <c r="K33" i="7"/>
  <c r="K44" i="7"/>
  <c r="K28" i="7"/>
  <c r="K14" i="7"/>
  <c r="K16" i="7"/>
  <c r="K13" i="7"/>
  <c r="K15" i="7"/>
  <c r="K17" i="7"/>
  <c r="K19" i="7"/>
  <c r="I142" i="7"/>
  <c r="I12" i="5"/>
  <c r="I426" i="5"/>
  <c r="I425" i="5" s="1"/>
  <c r="G425" i="5"/>
  <c r="I392" i="5"/>
  <c r="G391" i="5"/>
  <c r="I414" i="5"/>
  <c r="I276" i="5"/>
  <c r="I411" i="5"/>
  <c r="I360" i="5"/>
  <c r="I210" i="5"/>
  <c r="G209" i="5"/>
  <c r="I356" i="5"/>
  <c r="I96" i="5"/>
  <c r="I98" i="5"/>
  <c r="I50" i="5"/>
  <c r="I21" i="5"/>
  <c r="G20" i="5"/>
  <c r="I158" i="5"/>
  <c r="I136" i="5"/>
  <c r="I46" i="5"/>
  <c r="J255" i="5"/>
  <c r="G218" i="5"/>
  <c r="J107" i="5"/>
  <c r="G421" i="5"/>
  <c r="G410" i="5" s="1"/>
  <c r="I422" i="5"/>
  <c r="I228" i="5"/>
  <c r="G227" i="5"/>
  <c r="I110" i="5"/>
  <c r="G414" i="5"/>
  <c r="G360" i="5"/>
  <c r="G356" i="5"/>
  <c r="I255" i="5"/>
  <c r="I308" i="5"/>
  <c r="I376" i="5"/>
  <c r="I108" i="5"/>
  <c r="G158" i="5"/>
  <c r="G136" i="5"/>
  <c r="J308" i="5"/>
  <c r="J276" i="5"/>
  <c r="J98" i="5"/>
  <c r="I204" i="5"/>
  <c r="I190" i="5" s="1"/>
  <c r="I400" i="5"/>
  <c r="G399" i="5"/>
  <c r="G398" i="5" s="1"/>
  <c r="I224" i="5"/>
  <c r="G223" i="5"/>
  <c r="I88" i="5"/>
  <c r="G376" i="5"/>
  <c r="J376" i="5"/>
  <c r="J360" i="5"/>
  <c r="H50" i="5"/>
  <c r="I218" i="5"/>
  <c r="G107" i="5"/>
  <c r="G50" i="5"/>
  <c r="I405" i="7" l="1"/>
  <c r="G190" i="5"/>
  <c r="I407" i="7"/>
  <c r="I408" i="7" s="1"/>
  <c r="K170" i="7"/>
  <c r="K171" i="7"/>
  <c r="K172" i="7"/>
  <c r="K389" i="7"/>
  <c r="I399" i="5"/>
  <c r="I20" i="5"/>
  <c r="I391" i="5"/>
  <c r="K338" i="5"/>
  <c r="K339" i="5"/>
  <c r="I421" i="5"/>
  <c r="I223" i="5"/>
  <c r="I107" i="5"/>
  <c r="I227" i="5"/>
  <c r="I209" i="5"/>
  <c r="L434" i="5"/>
  <c r="K12" i="7" l="1"/>
  <c r="K82" i="7"/>
  <c r="K75" i="7"/>
  <c r="K142" i="7"/>
  <c r="K129" i="7"/>
  <c r="K98" i="7"/>
  <c r="K209" i="7"/>
  <c r="K191" i="7"/>
  <c r="K154" i="7"/>
  <c r="K401" i="7"/>
  <c r="K373" i="7"/>
  <c r="K81" i="7"/>
  <c r="K380" i="7"/>
  <c r="K158" i="7"/>
  <c r="K107" i="7"/>
  <c r="K50" i="7"/>
  <c r="K151" i="7"/>
  <c r="K339" i="7"/>
  <c r="K143" i="7"/>
  <c r="K387" i="7"/>
  <c r="K390" i="7"/>
  <c r="K65" i="7"/>
  <c r="K381" i="7"/>
  <c r="K58" i="7"/>
  <c r="K153" i="7"/>
  <c r="K338" i="7"/>
  <c r="K132" i="7"/>
  <c r="K76" i="7"/>
  <c r="K150" i="7"/>
  <c r="K205" i="7"/>
  <c r="K135" i="7"/>
  <c r="K80" i="7"/>
  <c r="K152" i="7"/>
  <c r="K342" i="7"/>
  <c r="K94" i="7"/>
  <c r="K237" i="7"/>
  <c r="K91" i="7"/>
  <c r="K173" i="7"/>
  <c r="K117" i="7"/>
  <c r="K51" i="7"/>
  <c r="K174" i="7"/>
  <c r="K120" i="7"/>
  <c r="K402" i="7"/>
  <c r="K163" i="7"/>
  <c r="K110" i="7"/>
  <c r="K358" i="7"/>
  <c r="K97" i="7"/>
  <c r="K200" i="7"/>
  <c r="K397" i="7"/>
  <c r="K186" i="7"/>
  <c r="K121" i="7"/>
  <c r="K72" i="7"/>
  <c r="K386" i="7"/>
  <c r="K169" i="7"/>
  <c r="K114" i="7"/>
  <c r="K20" i="7"/>
  <c r="K258" i="7"/>
  <c r="K146" i="7"/>
  <c r="K92" i="7"/>
  <c r="K96" i="7"/>
  <c r="K290" i="7"/>
  <c r="K149" i="7"/>
  <c r="K93" i="7"/>
  <c r="K95" i="7"/>
  <c r="K112" i="5"/>
  <c r="K109" i="5"/>
  <c r="K111" i="5"/>
  <c r="K397" i="5"/>
  <c r="I398" i="5"/>
  <c r="K110" i="5"/>
  <c r="I410" i="5"/>
  <c r="I431" i="5" l="1"/>
  <c r="K113" i="5" l="1"/>
  <c r="K417" i="5"/>
  <c r="K407" i="5"/>
  <c r="K403" i="5"/>
  <c r="K423" i="5"/>
  <c r="K406" i="5"/>
  <c r="K34" i="5"/>
  <c r="K26" i="5"/>
  <c r="K81" i="5"/>
  <c r="K29" i="5"/>
  <c r="K35" i="5"/>
  <c r="K17" i="5"/>
  <c r="K38" i="5"/>
  <c r="K71" i="5"/>
  <c r="K13" i="5"/>
  <c r="K68" i="5"/>
  <c r="K41" i="5"/>
  <c r="K55" i="5"/>
  <c r="K37" i="5"/>
  <c r="K48" i="5"/>
  <c r="K138" i="5"/>
  <c r="K160" i="5"/>
  <c r="K54" i="5"/>
  <c r="K72" i="5"/>
  <c r="K84" i="5"/>
  <c r="K101" i="5"/>
  <c r="K106" i="5"/>
  <c r="K125" i="5"/>
  <c r="K169" i="5"/>
  <c r="K215" i="5"/>
  <c r="K237" i="5"/>
  <c r="K264" i="5"/>
  <c r="K293" i="5"/>
  <c r="K52" i="5"/>
  <c r="K124" i="5"/>
  <c r="K186" i="5"/>
  <c r="K87" i="5"/>
  <c r="K131" i="5"/>
  <c r="K147" i="5"/>
  <c r="K213" i="5"/>
  <c r="K248" i="5"/>
  <c r="K280" i="5"/>
  <c r="K305" i="5"/>
  <c r="K40" i="5"/>
  <c r="K83" i="5"/>
  <c r="K104" i="5"/>
  <c r="K156" i="5"/>
  <c r="K221" i="5"/>
  <c r="K258" i="5"/>
  <c r="K281" i="5"/>
  <c r="K311" i="5"/>
  <c r="K129" i="5"/>
  <c r="K149" i="5"/>
  <c r="K173" i="5"/>
  <c r="K193" i="5"/>
  <c r="K207" i="5"/>
  <c r="K239" i="5"/>
  <c r="K271" i="5"/>
  <c r="K296" i="5"/>
  <c r="K408" i="5"/>
  <c r="K424" i="5"/>
  <c r="K278" i="5"/>
  <c r="K310" i="5"/>
  <c r="K331" i="5"/>
  <c r="K347" i="5"/>
  <c r="K371" i="5"/>
  <c r="K401" i="5"/>
  <c r="K252" i="5"/>
  <c r="K284" i="5"/>
  <c r="K300" i="5"/>
  <c r="K320" i="5"/>
  <c r="K336" i="5"/>
  <c r="K352" i="5"/>
  <c r="K395" i="5"/>
  <c r="K15" i="5"/>
  <c r="K31" i="5"/>
  <c r="K14" i="5"/>
  <c r="K33" i="5"/>
  <c r="K65" i="5"/>
  <c r="K58" i="5"/>
  <c r="K27" i="5"/>
  <c r="K32" i="5"/>
  <c r="K53" i="5"/>
  <c r="K23" i="5"/>
  <c r="K116" i="5"/>
  <c r="K44" i="5"/>
  <c r="K69" i="5"/>
  <c r="K79" i="5"/>
  <c r="K105" i="5"/>
  <c r="K121" i="5"/>
  <c r="K155" i="5"/>
  <c r="K178" i="5"/>
  <c r="K189" i="5"/>
  <c r="K203" i="5"/>
  <c r="K229" i="5"/>
  <c r="K257" i="5"/>
  <c r="K287" i="5"/>
  <c r="K312" i="5"/>
  <c r="K82" i="5"/>
  <c r="K120" i="5"/>
  <c r="K143" i="5"/>
  <c r="K157" i="5"/>
  <c r="K184" i="5"/>
  <c r="K200" i="5"/>
  <c r="K243" i="5"/>
  <c r="K272" i="5"/>
  <c r="K301" i="5"/>
  <c r="K90" i="5"/>
  <c r="K146" i="5"/>
  <c r="K80" i="5"/>
  <c r="K103" i="5"/>
  <c r="K142" i="5"/>
  <c r="K181" i="5"/>
  <c r="K211" i="5"/>
  <c r="K249" i="5"/>
  <c r="K273" i="5"/>
  <c r="K303" i="5"/>
  <c r="K86" i="5"/>
  <c r="K115" i="5"/>
  <c r="K219" i="5"/>
  <c r="K92" i="5"/>
  <c r="K119" i="5"/>
  <c r="K144" i="5"/>
  <c r="K164" i="5"/>
  <c r="K188" i="5"/>
  <c r="K202" i="5"/>
  <c r="K231" i="5"/>
  <c r="K266" i="5"/>
  <c r="K289" i="5"/>
  <c r="K404" i="5"/>
  <c r="K322" i="5"/>
  <c r="K330" i="5"/>
  <c r="K346" i="5"/>
  <c r="K354" i="5"/>
  <c r="K373" i="5"/>
  <c r="K389" i="5"/>
  <c r="K270" i="5"/>
  <c r="K302" i="5"/>
  <c r="K327" i="5"/>
  <c r="K343" i="5"/>
  <c r="K363" i="5"/>
  <c r="K260" i="5"/>
  <c r="K316" i="5"/>
  <c r="K332" i="5"/>
  <c r="K348" i="5"/>
  <c r="K385" i="5"/>
  <c r="K321" i="5"/>
  <c r="K329" i="5"/>
  <c r="K337" i="5"/>
  <c r="K345" i="5"/>
  <c r="K353" i="5"/>
  <c r="K367" i="5"/>
  <c r="K383" i="5"/>
  <c r="K61" i="5"/>
  <c r="K28" i="5"/>
  <c r="K70" i="5"/>
  <c r="K24" i="5"/>
  <c r="K57" i="5"/>
  <c r="K36" i="5"/>
  <c r="K19" i="5"/>
  <c r="K30" i="5"/>
  <c r="K49" i="5"/>
  <c r="K67" i="5"/>
  <c r="K75" i="5"/>
  <c r="K152" i="5"/>
  <c r="K205" i="5"/>
  <c r="K42" i="5"/>
  <c r="K60" i="5"/>
  <c r="K78" i="5"/>
  <c r="K95" i="5"/>
  <c r="K141" i="5"/>
  <c r="K187" i="5"/>
  <c r="K198" i="5"/>
  <c r="K250" i="5"/>
  <c r="K282" i="5"/>
  <c r="K304" i="5"/>
  <c r="K168" i="5"/>
  <c r="K73" i="5"/>
  <c r="K140" i="5"/>
  <c r="K154" i="5"/>
  <c r="K175" i="5"/>
  <c r="K197" i="5"/>
  <c r="K235" i="5"/>
  <c r="K265" i="5"/>
  <c r="K295" i="5"/>
  <c r="K405" i="5"/>
  <c r="K77" i="5"/>
  <c r="K100" i="5"/>
  <c r="K127" i="5"/>
  <c r="K177" i="5"/>
  <c r="K199" i="5"/>
  <c r="K241" i="5"/>
  <c r="K269" i="5"/>
  <c r="K298" i="5"/>
  <c r="K419" i="5"/>
  <c r="K117" i="5"/>
  <c r="K139" i="5"/>
  <c r="K161" i="5"/>
  <c r="K183" i="5"/>
  <c r="K201" i="5"/>
  <c r="K253" i="5"/>
  <c r="K285" i="5"/>
  <c r="K314" i="5"/>
  <c r="K412" i="5"/>
  <c r="K262" i="5"/>
  <c r="K294" i="5"/>
  <c r="K323" i="5"/>
  <c r="K355" i="5"/>
  <c r="K387" i="5"/>
  <c r="K292" i="5"/>
  <c r="K328" i="5"/>
  <c r="K344" i="5"/>
  <c r="K369" i="5"/>
  <c r="K64" i="5"/>
  <c r="K39" i="5"/>
  <c r="K45" i="5"/>
  <c r="K22" i="5"/>
  <c r="K118" i="5"/>
  <c r="K25" i="5"/>
  <c r="K43" i="5"/>
  <c r="K66" i="5"/>
  <c r="K62" i="5"/>
  <c r="K56" i="5"/>
  <c r="K59" i="5"/>
  <c r="K91" i="5"/>
  <c r="K102" i="5"/>
  <c r="K128" i="5"/>
  <c r="K172" i="5"/>
  <c r="K182" i="5"/>
  <c r="K195" i="5"/>
  <c r="K245" i="5"/>
  <c r="K274" i="5"/>
  <c r="K297" i="5"/>
  <c r="K93" i="5"/>
  <c r="K135" i="5"/>
  <c r="K150" i="5"/>
  <c r="K163" i="5"/>
  <c r="K192" i="5"/>
  <c r="K225" i="5"/>
  <c r="K261" i="5"/>
  <c r="K290" i="5"/>
  <c r="K313" i="5"/>
  <c r="K134" i="5"/>
  <c r="K166" i="5"/>
  <c r="K76" i="5"/>
  <c r="K94" i="5"/>
  <c r="K122" i="5"/>
  <c r="K171" i="5"/>
  <c r="K233" i="5"/>
  <c r="K263" i="5"/>
  <c r="K288" i="5"/>
  <c r="K180" i="5"/>
  <c r="K256" i="5"/>
  <c r="K132" i="5"/>
  <c r="K153" i="5"/>
  <c r="K176" i="5"/>
  <c r="K196" i="5"/>
  <c r="K217" i="5"/>
  <c r="K247" i="5"/>
  <c r="K279" i="5"/>
  <c r="K306" i="5"/>
  <c r="K318" i="5"/>
  <c r="K326" i="5"/>
  <c r="K334" i="5"/>
  <c r="K342" i="5"/>
  <c r="K350" i="5"/>
  <c r="K365" i="5"/>
  <c r="K381" i="5"/>
  <c r="K254" i="5"/>
  <c r="K286" i="5"/>
  <c r="K319" i="5"/>
  <c r="K335" i="5"/>
  <c r="K351" i="5"/>
  <c r="K379" i="5"/>
  <c r="K268" i="5"/>
  <c r="K324" i="5"/>
  <c r="K340" i="5"/>
  <c r="K317" i="5"/>
  <c r="K325" i="5"/>
  <c r="K333" i="5"/>
  <c r="K341" i="5"/>
  <c r="K349" i="5"/>
  <c r="K359" i="5"/>
  <c r="K375" i="5"/>
  <c r="K393" i="5"/>
  <c r="K384" i="5"/>
  <c r="K148" i="5"/>
  <c r="K226" i="5"/>
  <c r="K409" i="5"/>
  <c r="K368" i="5"/>
  <c r="K259" i="5"/>
  <c r="K212" i="5"/>
  <c r="K165" i="5"/>
  <c r="K191" i="5"/>
  <c r="K377" i="5"/>
  <c r="K418" i="5"/>
  <c r="K388" i="5"/>
  <c r="K170" i="5"/>
  <c r="K222" i="5"/>
  <c r="K74" i="5"/>
  <c r="K174" i="5"/>
  <c r="K283" i="5"/>
  <c r="K232" i="5"/>
  <c r="K415" i="5"/>
  <c r="K413" i="5"/>
  <c r="K97" i="5"/>
  <c r="K51" i="5"/>
  <c r="K159" i="5"/>
  <c r="K47" i="5"/>
  <c r="K402" i="5"/>
  <c r="K234" i="5"/>
  <c r="K123" i="5"/>
  <c r="K372" i="5"/>
  <c r="K378" i="5"/>
  <c r="K275" i="5"/>
  <c r="K220" i="5"/>
  <c r="K179" i="5"/>
  <c r="K63" i="5"/>
  <c r="K309" i="5"/>
  <c r="K396" i="5"/>
  <c r="K362" i="5"/>
  <c r="K230" i="5"/>
  <c r="K167" i="5"/>
  <c r="K151" i="5"/>
  <c r="K364" i="5"/>
  <c r="K299" i="5"/>
  <c r="K240" i="5"/>
  <c r="K145" i="5"/>
  <c r="K12" i="5"/>
  <c r="K277" i="5"/>
  <c r="K420" i="5"/>
  <c r="K366" i="5"/>
  <c r="K242" i="5"/>
  <c r="K185" i="5"/>
  <c r="K386" i="5"/>
  <c r="K291" i="5"/>
  <c r="K236" i="5"/>
  <c r="K416" i="5"/>
  <c r="K370" i="5"/>
  <c r="K238" i="5"/>
  <c r="K206" i="5"/>
  <c r="K126" i="5"/>
  <c r="K315" i="5"/>
  <c r="K251" i="5"/>
  <c r="K208" i="5"/>
  <c r="K85" i="5"/>
  <c r="K361" i="5"/>
  <c r="K357" i="5"/>
  <c r="K99" i="5"/>
  <c r="K137" i="5"/>
  <c r="K382" i="5"/>
  <c r="K374" i="5"/>
  <c r="K130" i="5"/>
  <c r="K394" i="5"/>
  <c r="K358" i="5"/>
  <c r="K307" i="5"/>
  <c r="K244" i="5"/>
  <c r="K133" i="5"/>
  <c r="K390" i="5"/>
  <c r="K380" i="5"/>
  <c r="K246" i="5"/>
  <c r="K214" i="5"/>
  <c r="K16" i="5"/>
  <c r="K89" i="5"/>
  <c r="K162" i="5"/>
  <c r="K267" i="5"/>
  <c r="K216" i="5"/>
  <c r="K114" i="5"/>
  <c r="K18" i="5"/>
  <c r="I440" i="5"/>
  <c r="K411" i="5"/>
  <c r="K190" i="5"/>
  <c r="K276" i="5"/>
  <c r="K422" i="5"/>
  <c r="K255" i="5"/>
  <c r="K356" i="5"/>
  <c r="K108" i="5"/>
  <c r="K210" i="5"/>
  <c r="K425" i="5"/>
  <c r="K46" i="5"/>
  <c r="K414" i="5"/>
  <c r="K21" i="5"/>
  <c r="K376" i="5"/>
  <c r="K204" i="5"/>
  <c r="K98" i="5"/>
  <c r="K218" i="5"/>
  <c r="K96" i="5"/>
  <c r="K88" i="5"/>
  <c r="K136" i="5"/>
  <c r="K224" i="5"/>
  <c r="K228" i="5"/>
  <c r="K50" i="5"/>
  <c r="K400" i="5"/>
  <c r="K392" i="5"/>
  <c r="K308" i="5"/>
  <c r="K360" i="5"/>
  <c r="K158" i="5"/>
  <c r="K107" i="5"/>
  <c r="K391" i="5"/>
  <c r="K20" i="5"/>
  <c r="K421" i="5"/>
  <c r="K223" i="5"/>
  <c r="K399" i="5"/>
  <c r="K209" i="5"/>
  <c r="K227" i="5"/>
  <c r="K398" i="5"/>
  <c r="K410" i="5"/>
  <c r="F169" i="1"/>
  <c r="F397" i="1"/>
  <c r="F390" i="1"/>
  <c r="F387" i="1"/>
  <c r="F381" i="1"/>
  <c r="F380" i="1" s="1"/>
  <c r="F373" i="1"/>
  <c r="F358" i="1"/>
  <c r="F342" i="1"/>
  <c r="F338" i="1"/>
  <c r="F290" i="1"/>
  <c r="F258" i="1"/>
  <c r="F237" i="1"/>
  <c r="F209" i="1"/>
  <c r="F205" i="1"/>
  <c r="F200" i="1"/>
  <c r="F191" i="1"/>
  <c r="F186" i="1"/>
  <c r="F174" i="1"/>
  <c r="F163" i="1"/>
  <c r="F158" i="1"/>
  <c r="F154" i="1"/>
  <c r="F151" i="1"/>
  <c r="F149" i="1"/>
  <c r="F146" i="1"/>
  <c r="F143" i="1"/>
  <c r="F135" i="1"/>
  <c r="F132" i="1"/>
  <c r="F129" i="1"/>
  <c r="F121" i="1"/>
  <c r="F117" i="1"/>
  <c r="F114" i="1"/>
  <c r="F110" i="1"/>
  <c r="F107" i="1"/>
  <c r="F98" i="1"/>
  <c r="F94" i="1"/>
  <c r="F92" i="1"/>
  <c r="F82" i="1"/>
  <c r="F80" i="1"/>
  <c r="F76" i="1"/>
  <c r="F72" i="1"/>
  <c r="F65" i="1"/>
  <c r="F58" i="1"/>
  <c r="F51" i="1"/>
  <c r="F47" i="1"/>
  <c r="F46" i="1" s="1"/>
  <c r="F20" i="1"/>
  <c r="F12" i="1"/>
  <c r="F12" i="5" s="1"/>
  <c r="I428" i="5" s="1"/>
  <c r="H16" i="1"/>
  <c r="H17" i="1"/>
  <c r="H18" i="1"/>
  <c r="H19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8" i="1"/>
  <c r="H49" i="1"/>
  <c r="H52" i="1"/>
  <c r="H53" i="1"/>
  <c r="H54" i="1"/>
  <c r="H55" i="1"/>
  <c r="H56" i="1"/>
  <c r="H57" i="1"/>
  <c r="H59" i="1"/>
  <c r="H60" i="1"/>
  <c r="H61" i="1"/>
  <c r="H62" i="1"/>
  <c r="H63" i="1"/>
  <c r="H64" i="1"/>
  <c r="H66" i="1"/>
  <c r="H67" i="1"/>
  <c r="H68" i="1"/>
  <c r="H69" i="1"/>
  <c r="H70" i="1"/>
  <c r="H71" i="1"/>
  <c r="H73" i="1"/>
  <c r="H74" i="1"/>
  <c r="H77" i="1"/>
  <c r="H78" i="1"/>
  <c r="H79" i="1"/>
  <c r="H81" i="1"/>
  <c r="H80" i="1" s="1"/>
  <c r="H83" i="1"/>
  <c r="H84" i="1"/>
  <c r="H85" i="1"/>
  <c r="H86" i="1"/>
  <c r="H87" i="1"/>
  <c r="H88" i="1"/>
  <c r="H89" i="1"/>
  <c r="H90" i="1"/>
  <c r="H93" i="1"/>
  <c r="H92" i="1" s="1"/>
  <c r="H95" i="1"/>
  <c r="H96" i="1"/>
  <c r="H97" i="1"/>
  <c r="H99" i="1"/>
  <c r="H100" i="1"/>
  <c r="H101" i="1"/>
  <c r="H102" i="1"/>
  <c r="H103" i="1"/>
  <c r="H104" i="1"/>
  <c r="H105" i="1"/>
  <c r="H106" i="1"/>
  <c r="H108" i="1"/>
  <c r="H109" i="1"/>
  <c r="H111" i="1"/>
  <c r="H112" i="1"/>
  <c r="H113" i="1"/>
  <c r="H115" i="1"/>
  <c r="H116" i="1"/>
  <c r="H118" i="1"/>
  <c r="H119" i="1"/>
  <c r="H122" i="1"/>
  <c r="H123" i="1"/>
  <c r="H124" i="1"/>
  <c r="H125" i="1"/>
  <c r="H126" i="1"/>
  <c r="H127" i="1"/>
  <c r="H128" i="1"/>
  <c r="H130" i="1"/>
  <c r="H131" i="1"/>
  <c r="H133" i="1"/>
  <c r="H134" i="1"/>
  <c r="H136" i="1"/>
  <c r="H137" i="1"/>
  <c r="H138" i="1"/>
  <c r="H139" i="1"/>
  <c r="H140" i="1"/>
  <c r="H141" i="1"/>
  <c r="H144" i="1"/>
  <c r="H145" i="1"/>
  <c r="H147" i="1"/>
  <c r="H148" i="1"/>
  <c r="H150" i="1"/>
  <c r="H149" i="1" s="1"/>
  <c r="H152" i="1"/>
  <c r="H153" i="1"/>
  <c r="H155" i="1"/>
  <c r="H156" i="1"/>
  <c r="H157" i="1"/>
  <c r="H159" i="1"/>
  <c r="H160" i="1"/>
  <c r="H161" i="1"/>
  <c r="H162" i="1"/>
  <c r="H164" i="1"/>
  <c r="H165" i="1"/>
  <c r="H166" i="1"/>
  <c r="H167" i="1"/>
  <c r="H168" i="1"/>
  <c r="H170" i="1"/>
  <c r="H171" i="1"/>
  <c r="H172" i="1"/>
  <c r="H175" i="1"/>
  <c r="H176" i="1"/>
  <c r="H177" i="1"/>
  <c r="H178" i="1"/>
  <c r="H179" i="1"/>
  <c r="H180" i="1"/>
  <c r="H181" i="1"/>
  <c r="H182" i="1"/>
  <c r="H183" i="1"/>
  <c r="H184" i="1"/>
  <c r="H185" i="1"/>
  <c r="H187" i="1"/>
  <c r="H188" i="1"/>
  <c r="H189" i="1"/>
  <c r="H190" i="1"/>
  <c r="H192" i="1"/>
  <c r="H193" i="1"/>
  <c r="H194" i="1"/>
  <c r="H195" i="1"/>
  <c r="H196" i="1"/>
  <c r="H197" i="1"/>
  <c r="H198" i="1"/>
  <c r="H199" i="1"/>
  <c r="H201" i="1"/>
  <c r="H202" i="1"/>
  <c r="H203" i="1"/>
  <c r="H204" i="1"/>
  <c r="H206" i="1"/>
  <c r="H207" i="1"/>
  <c r="H208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9" i="1"/>
  <c r="H340" i="1"/>
  <c r="H341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4" i="1"/>
  <c r="H375" i="1"/>
  <c r="H376" i="1"/>
  <c r="H377" i="1"/>
  <c r="H378" i="1"/>
  <c r="H379" i="1"/>
  <c r="H382" i="1"/>
  <c r="H383" i="1"/>
  <c r="H384" i="1"/>
  <c r="H385" i="1"/>
  <c r="H388" i="1"/>
  <c r="H389" i="1"/>
  <c r="H391" i="1"/>
  <c r="H392" i="1"/>
  <c r="H393" i="1"/>
  <c r="H394" i="1"/>
  <c r="H395" i="1"/>
  <c r="H396" i="1"/>
  <c r="H398" i="1"/>
  <c r="H399" i="1"/>
  <c r="H400" i="1"/>
  <c r="H14" i="1"/>
  <c r="H15" i="1"/>
  <c r="H13" i="1"/>
  <c r="H169" i="1" l="1"/>
  <c r="F75" i="1"/>
  <c r="F173" i="1"/>
  <c r="F50" i="1"/>
  <c r="F120" i="1"/>
  <c r="F142" i="1"/>
  <c r="F386" i="1"/>
  <c r="F91" i="1"/>
  <c r="H47" i="1"/>
  <c r="H46" i="1" s="1"/>
  <c r="H397" i="1"/>
  <c r="H387" i="1"/>
  <c r="H132" i="1"/>
  <c r="H117" i="1"/>
  <c r="H12" i="1"/>
  <c r="H12" i="5" s="1"/>
  <c r="I430" i="5" s="1"/>
  <c r="H158" i="1"/>
  <c r="H146" i="1"/>
  <c r="H110" i="1"/>
  <c r="H237" i="1"/>
  <c r="H381" i="1"/>
  <c r="H380" i="1" s="1"/>
  <c r="H342" i="1"/>
  <c r="H154" i="1"/>
  <c r="H82" i="1"/>
  <c r="H65" i="1"/>
  <c r="H358" i="1"/>
  <c r="H258" i="1"/>
  <c r="H390" i="1"/>
  <c r="H373" i="1"/>
  <c r="H338" i="1"/>
  <c r="H209" i="1"/>
  <c r="H205" i="1"/>
  <c r="H200" i="1"/>
  <c r="H191" i="1"/>
  <c r="H186" i="1"/>
  <c r="H174" i="1"/>
  <c r="H143" i="1"/>
  <c r="H107" i="1"/>
  <c r="H98" i="1"/>
  <c r="H76" i="1"/>
  <c r="H75" i="1" s="1"/>
  <c r="H290" i="1"/>
  <c r="H151" i="1"/>
  <c r="H135" i="1"/>
  <c r="H129" i="1"/>
  <c r="H114" i="1"/>
  <c r="H94" i="1"/>
  <c r="H72" i="1"/>
  <c r="H58" i="1"/>
  <c r="H20" i="1"/>
  <c r="H163" i="1"/>
  <c r="H121" i="1"/>
  <c r="H51" i="1"/>
  <c r="H120" i="1" l="1"/>
  <c r="H91" i="1"/>
  <c r="H173" i="1"/>
  <c r="H50" i="1"/>
  <c r="H386" i="1"/>
  <c r="H142" i="1"/>
  <c r="G399" i="1" l="1"/>
  <c r="G400" i="1"/>
  <c r="G398" i="1"/>
  <c r="I398" i="1" s="1"/>
  <c r="G392" i="1"/>
  <c r="I392" i="1" s="1"/>
  <c r="G393" i="1"/>
  <c r="I393" i="1" s="1"/>
  <c r="G394" i="1"/>
  <c r="I394" i="1" s="1"/>
  <c r="G395" i="1"/>
  <c r="I395" i="1" s="1"/>
  <c r="G396" i="1"/>
  <c r="I396" i="1" s="1"/>
  <c r="G391" i="1"/>
  <c r="I391" i="1" s="1"/>
  <c r="G389" i="1"/>
  <c r="I389" i="1" s="1"/>
  <c r="G388" i="1"/>
  <c r="G383" i="1"/>
  <c r="I383" i="1" s="1"/>
  <c r="G384" i="1"/>
  <c r="I384" i="1" s="1"/>
  <c r="G385" i="1"/>
  <c r="I385" i="1" s="1"/>
  <c r="G382" i="1"/>
  <c r="I382" i="1" s="1"/>
  <c r="G375" i="1"/>
  <c r="I375" i="1" s="1"/>
  <c r="G376" i="1"/>
  <c r="I376" i="1" s="1"/>
  <c r="G377" i="1"/>
  <c r="I377" i="1" s="1"/>
  <c r="G378" i="1"/>
  <c r="I378" i="1" s="1"/>
  <c r="G379" i="1"/>
  <c r="I379" i="1" s="1"/>
  <c r="G374" i="1"/>
  <c r="G360" i="1"/>
  <c r="I360" i="1" s="1"/>
  <c r="G361" i="1"/>
  <c r="I361" i="1" s="1"/>
  <c r="G362" i="1"/>
  <c r="I362" i="1" s="1"/>
  <c r="G363" i="1"/>
  <c r="I363" i="1" s="1"/>
  <c r="G364" i="1"/>
  <c r="I364" i="1" s="1"/>
  <c r="G365" i="1"/>
  <c r="I365" i="1" s="1"/>
  <c r="G366" i="1"/>
  <c r="I366" i="1" s="1"/>
  <c r="G367" i="1"/>
  <c r="I367" i="1" s="1"/>
  <c r="G368" i="1"/>
  <c r="I368" i="1" s="1"/>
  <c r="G369" i="1"/>
  <c r="I369" i="1" s="1"/>
  <c r="G370" i="1"/>
  <c r="G371" i="1"/>
  <c r="I371" i="1" s="1"/>
  <c r="G372" i="1"/>
  <c r="I372" i="1" s="1"/>
  <c r="G359" i="1"/>
  <c r="I359" i="1" s="1"/>
  <c r="G344" i="1"/>
  <c r="I344" i="1" s="1"/>
  <c r="G345" i="1"/>
  <c r="I345" i="1" s="1"/>
  <c r="G346" i="1"/>
  <c r="I346" i="1" s="1"/>
  <c r="G347" i="1"/>
  <c r="I347" i="1" s="1"/>
  <c r="G348" i="1"/>
  <c r="I348" i="1" s="1"/>
  <c r="G349" i="1"/>
  <c r="I349" i="1" s="1"/>
  <c r="G350" i="1"/>
  <c r="I350" i="1" s="1"/>
  <c r="G351" i="1"/>
  <c r="I351" i="1" s="1"/>
  <c r="G352" i="1"/>
  <c r="I352" i="1" s="1"/>
  <c r="G353" i="1"/>
  <c r="I353" i="1" s="1"/>
  <c r="G354" i="1"/>
  <c r="I354" i="1" s="1"/>
  <c r="G355" i="1"/>
  <c r="I355" i="1" s="1"/>
  <c r="G356" i="1"/>
  <c r="I356" i="1" s="1"/>
  <c r="G357" i="1"/>
  <c r="I357" i="1" s="1"/>
  <c r="G343" i="1"/>
  <c r="I343" i="1" s="1"/>
  <c r="G340" i="1"/>
  <c r="I340" i="1" s="1"/>
  <c r="G341" i="1"/>
  <c r="I341" i="1" s="1"/>
  <c r="G339" i="1"/>
  <c r="G292" i="1"/>
  <c r="I292" i="1" s="1"/>
  <c r="G293" i="1"/>
  <c r="I293" i="1" s="1"/>
  <c r="G294" i="1"/>
  <c r="I294" i="1" s="1"/>
  <c r="G295" i="1"/>
  <c r="I295" i="1" s="1"/>
  <c r="G296" i="1"/>
  <c r="I296" i="1" s="1"/>
  <c r="G297" i="1"/>
  <c r="I297" i="1" s="1"/>
  <c r="G298" i="1"/>
  <c r="I298" i="1" s="1"/>
  <c r="G299" i="1"/>
  <c r="I299" i="1" s="1"/>
  <c r="G300" i="1"/>
  <c r="I300" i="1" s="1"/>
  <c r="G301" i="1"/>
  <c r="I301" i="1" s="1"/>
  <c r="G302" i="1"/>
  <c r="I302" i="1" s="1"/>
  <c r="G303" i="1"/>
  <c r="I303" i="1" s="1"/>
  <c r="G304" i="1"/>
  <c r="I304" i="1" s="1"/>
  <c r="G305" i="1"/>
  <c r="I305" i="1" s="1"/>
  <c r="G306" i="1"/>
  <c r="I306" i="1" s="1"/>
  <c r="G307" i="1"/>
  <c r="I307" i="1" s="1"/>
  <c r="G308" i="1"/>
  <c r="I308" i="1" s="1"/>
  <c r="G309" i="1"/>
  <c r="I309" i="1" s="1"/>
  <c r="G310" i="1"/>
  <c r="I310" i="1" s="1"/>
  <c r="G311" i="1"/>
  <c r="I311" i="1" s="1"/>
  <c r="G312" i="1"/>
  <c r="I312" i="1" s="1"/>
  <c r="G313" i="1"/>
  <c r="I313" i="1" s="1"/>
  <c r="G314" i="1"/>
  <c r="I314" i="1" s="1"/>
  <c r="G315" i="1"/>
  <c r="I315" i="1" s="1"/>
  <c r="G316" i="1"/>
  <c r="I316" i="1" s="1"/>
  <c r="G317" i="1"/>
  <c r="I317" i="1" s="1"/>
  <c r="G318" i="1"/>
  <c r="I318" i="1" s="1"/>
  <c r="G319" i="1"/>
  <c r="I319" i="1" s="1"/>
  <c r="G320" i="1"/>
  <c r="I320" i="1" s="1"/>
  <c r="G321" i="1"/>
  <c r="I321" i="1" s="1"/>
  <c r="G322" i="1"/>
  <c r="I322" i="1" s="1"/>
  <c r="G323" i="1"/>
  <c r="I323" i="1" s="1"/>
  <c r="G324" i="1"/>
  <c r="I324" i="1" s="1"/>
  <c r="G325" i="1"/>
  <c r="I325" i="1" s="1"/>
  <c r="G326" i="1"/>
  <c r="I326" i="1" s="1"/>
  <c r="G327" i="1"/>
  <c r="I327" i="1" s="1"/>
  <c r="G328" i="1"/>
  <c r="I328" i="1" s="1"/>
  <c r="G329" i="1"/>
  <c r="I329" i="1" s="1"/>
  <c r="G330" i="1"/>
  <c r="I330" i="1" s="1"/>
  <c r="G331" i="1"/>
  <c r="I331" i="1" s="1"/>
  <c r="G332" i="1"/>
  <c r="I332" i="1" s="1"/>
  <c r="G333" i="1"/>
  <c r="I333" i="1" s="1"/>
  <c r="G334" i="1"/>
  <c r="I334" i="1" s="1"/>
  <c r="G335" i="1"/>
  <c r="I335" i="1" s="1"/>
  <c r="G336" i="1"/>
  <c r="I336" i="1" s="1"/>
  <c r="G337" i="1"/>
  <c r="I337" i="1" s="1"/>
  <c r="G291" i="1"/>
  <c r="G260" i="1"/>
  <c r="I260" i="1" s="1"/>
  <c r="G261" i="1"/>
  <c r="I261" i="1" s="1"/>
  <c r="G262" i="1"/>
  <c r="I262" i="1" s="1"/>
  <c r="G263" i="1"/>
  <c r="I263" i="1" s="1"/>
  <c r="G264" i="1"/>
  <c r="I264" i="1" s="1"/>
  <c r="G265" i="1"/>
  <c r="I265" i="1" s="1"/>
  <c r="G266" i="1"/>
  <c r="I266" i="1" s="1"/>
  <c r="G267" i="1"/>
  <c r="I267" i="1" s="1"/>
  <c r="G268" i="1"/>
  <c r="I268" i="1" s="1"/>
  <c r="G269" i="1"/>
  <c r="I269" i="1" s="1"/>
  <c r="G270" i="1"/>
  <c r="I270" i="1" s="1"/>
  <c r="G271" i="1"/>
  <c r="I271" i="1" s="1"/>
  <c r="G272" i="1"/>
  <c r="I272" i="1" s="1"/>
  <c r="G273" i="1"/>
  <c r="I273" i="1" s="1"/>
  <c r="G274" i="1"/>
  <c r="I274" i="1" s="1"/>
  <c r="G275" i="1"/>
  <c r="I275" i="1" s="1"/>
  <c r="G276" i="1"/>
  <c r="I276" i="1" s="1"/>
  <c r="G277" i="1"/>
  <c r="I277" i="1" s="1"/>
  <c r="G278" i="1"/>
  <c r="I278" i="1" s="1"/>
  <c r="G279" i="1"/>
  <c r="I279" i="1" s="1"/>
  <c r="G280" i="1"/>
  <c r="I280" i="1" s="1"/>
  <c r="G281" i="1"/>
  <c r="I281" i="1" s="1"/>
  <c r="G282" i="1"/>
  <c r="I282" i="1" s="1"/>
  <c r="G283" i="1"/>
  <c r="I283" i="1" s="1"/>
  <c r="G284" i="1"/>
  <c r="I284" i="1" s="1"/>
  <c r="G285" i="1"/>
  <c r="I285" i="1" s="1"/>
  <c r="G286" i="1"/>
  <c r="I286" i="1" s="1"/>
  <c r="G287" i="1"/>
  <c r="I287" i="1" s="1"/>
  <c r="G288" i="1"/>
  <c r="I288" i="1" s="1"/>
  <c r="G289" i="1"/>
  <c r="I289" i="1" s="1"/>
  <c r="G259" i="1"/>
  <c r="I259" i="1" s="1"/>
  <c r="G239" i="1"/>
  <c r="I239" i="1" s="1"/>
  <c r="G240" i="1"/>
  <c r="I240" i="1" s="1"/>
  <c r="G241" i="1"/>
  <c r="I241" i="1" s="1"/>
  <c r="G242" i="1"/>
  <c r="I242" i="1" s="1"/>
  <c r="G243" i="1"/>
  <c r="I243" i="1" s="1"/>
  <c r="G244" i="1"/>
  <c r="I244" i="1" s="1"/>
  <c r="G245" i="1"/>
  <c r="I245" i="1" s="1"/>
  <c r="G246" i="1"/>
  <c r="I246" i="1" s="1"/>
  <c r="G247" i="1"/>
  <c r="I247" i="1" s="1"/>
  <c r="G248" i="1"/>
  <c r="I248" i="1" s="1"/>
  <c r="G249" i="1"/>
  <c r="I249" i="1" s="1"/>
  <c r="G250" i="1"/>
  <c r="G251" i="1"/>
  <c r="I251" i="1" s="1"/>
  <c r="G252" i="1"/>
  <c r="I252" i="1" s="1"/>
  <c r="G253" i="1"/>
  <c r="I253" i="1" s="1"/>
  <c r="G254" i="1"/>
  <c r="I254" i="1" s="1"/>
  <c r="G255" i="1"/>
  <c r="I255" i="1" s="1"/>
  <c r="G256" i="1"/>
  <c r="I256" i="1" s="1"/>
  <c r="G257" i="1"/>
  <c r="I257" i="1" s="1"/>
  <c r="G238" i="1"/>
  <c r="I238" i="1" s="1"/>
  <c r="G211" i="1"/>
  <c r="I211" i="1" s="1"/>
  <c r="G212" i="1"/>
  <c r="I212" i="1" s="1"/>
  <c r="G213" i="1"/>
  <c r="I213" i="1" s="1"/>
  <c r="G214" i="1"/>
  <c r="I214" i="1" s="1"/>
  <c r="G215" i="1"/>
  <c r="I215" i="1" s="1"/>
  <c r="G216" i="1"/>
  <c r="I216" i="1" s="1"/>
  <c r="G217" i="1"/>
  <c r="I217" i="1" s="1"/>
  <c r="G218" i="1"/>
  <c r="I218" i="1" s="1"/>
  <c r="G219" i="1"/>
  <c r="I219" i="1" s="1"/>
  <c r="G220" i="1"/>
  <c r="I220" i="1" s="1"/>
  <c r="G221" i="1"/>
  <c r="I221" i="1" s="1"/>
  <c r="G222" i="1"/>
  <c r="I222" i="1" s="1"/>
  <c r="G223" i="1"/>
  <c r="I223" i="1" s="1"/>
  <c r="G224" i="1"/>
  <c r="I224" i="1" s="1"/>
  <c r="G225" i="1"/>
  <c r="I225" i="1" s="1"/>
  <c r="G226" i="1"/>
  <c r="I226" i="1" s="1"/>
  <c r="G227" i="1"/>
  <c r="I227" i="1" s="1"/>
  <c r="G228" i="1"/>
  <c r="I228" i="1" s="1"/>
  <c r="G229" i="1"/>
  <c r="I229" i="1" s="1"/>
  <c r="G230" i="1"/>
  <c r="I230" i="1" s="1"/>
  <c r="G231" i="1"/>
  <c r="I231" i="1" s="1"/>
  <c r="G232" i="1"/>
  <c r="I232" i="1" s="1"/>
  <c r="G233" i="1"/>
  <c r="I233" i="1" s="1"/>
  <c r="G234" i="1"/>
  <c r="I234" i="1" s="1"/>
  <c r="G235" i="1"/>
  <c r="I235" i="1" s="1"/>
  <c r="G236" i="1"/>
  <c r="I236" i="1" s="1"/>
  <c r="G210" i="1"/>
  <c r="G207" i="1"/>
  <c r="I207" i="1" s="1"/>
  <c r="G208" i="1"/>
  <c r="I208" i="1" s="1"/>
  <c r="G206" i="1"/>
  <c r="I206" i="1" s="1"/>
  <c r="G202" i="1"/>
  <c r="I202" i="1" s="1"/>
  <c r="G203" i="1"/>
  <c r="I203" i="1" s="1"/>
  <c r="G204" i="1"/>
  <c r="I204" i="1" s="1"/>
  <c r="G201" i="1"/>
  <c r="G193" i="1"/>
  <c r="I193" i="1" s="1"/>
  <c r="G194" i="1"/>
  <c r="I194" i="1" s="1"/>
  <c r="G195" i="1"/>
  <c r="I195" i="1" s="1"/>
  <c r="G196" i="1"/>
  <c r="I196" i="1" s="1"/>
  <c r="G197" i="1"/>
  <c r="I197" i="1" s="1"/>
  <c r="G198" i="1"/>
  <c r="I198" i="1" s="1"/>
  <c r="G199" i="1"/>
  <c r="I199" i="1" s="1"/>
  <c r="G192" i="1"/>
  <c r="I192" i="1" s="1"/>
  <c r="G188" i="1"/>
  <c r="I188" i="1" s="1"/>
  <c r="G189" i="1"/>
  <c r="I189" i="1" s="1"/>
  <c r="G190" i="1"/>
  <c r="I190" i="1" s="1"/>
  <c r="G187" i="1"/>
  <c r="I187" i="1" s="1"/>
  <c r="G176" i="1"/>
  <c r="I176" i="1" s="1"/>
  <c r="G177" i="1"/>
  <c r="I177" i="1" s="1"/>
  <c r="G178" i="1"/>
  <c r="I178" i="1" s="1"/>
  <c r="G179" i="1"/>
  <c r="I179" i="1" s="1"/>
  <c r="G180" i="1"/>
  <c r="I180" i="1" s="1"/>
  <c r="G181" i="1"/>
  <c r="I181" i="1" s="1"/>
  <c r="G182" i="1"/>
  <c r="I182" i="1" s="1"/>
  <c r="G183" i="1"/>
  <c r="I183" i="1" s="1"/>
  <c r="G184" i="1"/>
  <c r="I184" i="1" s="1"/>
  <c r="G185" i="1"/>
  <c r="I185" i="1" s="1"/>
  <c r="G175" i="1"/>
  <c r="G171" i="1"/>
  <c r="I171" i="1" s="1"/>
  <c r="G172" i="1"/>
  <c r="G170" i="1"/>
  <c r="G165" i="1"/>
  <c r="I165" i="1" s="1"/>
  <c r="G166" i="1"/>
  <c r="I166" i="1" s="1"/>
  <c r="G167" i="1"/>
  <c r="I167" i="1" s="1"/>
  <c r="G168" i="1"/>
  <c r="I168" i="1" s="1"/>
  <c r="G164" i="1"/>
  <c r="I164" i="1" s="1"/>
  <c r="G160" i="1"/>
  <c r="I160" i="1" s="1"/>
  <c r="G161" i="1"/>
  <c r="I161" i="1" s="1"/>
  <c r="G162" i="1"/>
  <c r="I162" i="1" s="1"/>
  <c r="G159" i="1"/>
  <c r="I159" i="1" s="1"/>
  <c r="G156" i="1"/>
  <c r="I156" i="1" s="1"/>
  <c r="G157" i="1"/>
  <c r="I157" i="1" s="1"/>
  <c r="G155" i="1"/>
  <c r="G153" i="1"/>
  <c r="I153" i="1" s="1"/>
  <c r="G152" i="1"/>
  <c r="G150" i="1"/>
  <c r="G149" i="1" s="1"/>
  <c r="G148" i="1"/>
  <c r="I148" i="1" s="1"/>
  <c r="G147" i="1"/>
  <c r="I147" i="1" s="1"/>
  <c r="G145" i="1"/>
  <c r="I145" i="1" s="1"/>
  <c r="G144" i="1"/>
  <c r="G137" i="1"/>
  <c r="I137" i="1" s="1"/>
  <c r="G138" i="1"/>
  <c r="I138" i="1" s="1"/>
  <c r="G139" i="1"/>
  <c r="I139" i="1" s="1"/>
  <c r="G140" i="1"/>
  <c r="I140" i="1" s="1"/>
  <c r="G141" i="1"/>
  <c r="I141" i="1" s="1"/>
  <c r="G136" i="1"/>
  <c r="G134" i="1"/>
  <c r="I134" i="1" s="1"/>
  <c r="G133" i="1"/>
  <c r="I133" i="1" s="1"/>
  <c r="G131" i="1"/>
  <c r="I131" i="1" s="1"/>
  <c r="G130" i="1"/>
  <c r="G123" i="1"/>
  <c r="I123" i="1" s="1"/>
  <c r="G124" i="1"/>
  <c r="I124" i="1" s="1"/>
  <c r="G125" i="1"/>
  <c r="I125" i="1" s="1"/>
  <c r="G126" i="1"/>
  <c r="I126" i="1" s="1"/>
  <c r="G127" i="1"/>
  <c r="I127" i="1" s="1"/>
  <c r="G128" i="1"/>
  <c r="I128" i="1" s="1"/>
  <c r="G122" i="1"/>
  <c r="I122" i="1" s="1"/>
  <c r="G119" i="1"/>
  <c r="I119" i="1" s="1"/>
  <c r="G118" i="1"/>
  <c r="I118" i="1" s="1"/>
  <c r="G116" i="1"/>
  <c r="I116" i="1" s="1"/>
  <c r="G115" i="1"/>
  <c r="G113" i="1"/>
  <c r="I113" i="1" s="1"/>
  <c r="G112" i="1"/>
  <c r="I112" i="1" s="1"/>
  <c r="G111" i="1"/>
  <c r="G109" i="1"/>
  <c r="I109" i="1" s="1"/>
  <c r="G108" i="1"/>
  <c r="I108" i="1" s="1"/>
  <c r="G100" i="1"/>
  <c r="I100" i="1" s="1"/>
  <c r="G101" i="1"/>
  <c r="I101" i="1" s="1"/>
  <c r="G102" i="1"/>
  <c r="I102" i="1" s="1"/>
  <c r="G103" i="1"/>
  <c r="I103" i="1" s="1"/>
  <c r="G104" i="1"/>
  <c r="I104" i="1" s="1"/>
  <c r="G105" i="1"/>
  <c r="I105" i="1" s="1"/>
  <c r="G106" i="1"/>
  <c r="I106" i="1" s="1"/>
  <c r="G99" i="1"/>
  <c r="G96" i="1"/>
  <c r="I96" i="1" s="1"/>
  <c r="G97" i="1"/>
  <c r="G95" i="1"/>
  <c r="G93" i="1"/>
  <c r="G92" i="1" s="1"/>
  <c r="G84" i="1"/>
  <c r="I84" i="1" s="1"/>
  <c r="G85" i="1"/>
  <c r="I85" i="1" s="1"/>
  <c r="G86" i="1"/>
  <c r="I86" i="1" s="1"/>
  <c r="G87" i="1"/>
  <c r="I87" i="1" s="1"/>
  <c r="G88" i="1"/>
  <c r="I88" i="1" s="1"/>
  <c r="G89" i="1"/>
  <c r="I89" i="1" s="1"/>
  <c r="G90" i="1"/>
  <c r="I90" i="1" s="1"/>
  <c r="G83" i="1"/>
  <c r="G81" i="1"/>
  <c r="G80" i="1" s="1"/>
  <c r="G78" i="1"/>
  <c r="I78" i="1" s="1"/>
  <c r="G79" i="1"/>
  <c r="I79" i="1" s="1"/>
  <c r="G77" i="1"/>
  <c r="G74" i="1"/>
  <c r="I74" i="1" s="1"/>
  <c r="G73" i="1"/>
  <c r="G67" i="1"/>
  <c r="I67" i="1" s="1"/>
  <c r="G68" i="1"/>
  <c r="I68" i="1" s="1"/>
  <c r="G69" i="1"/>
  <c r="I69" i="1" s="1"/>
  <c r="G70" i="1"/>
  <c r="I70" i="1" s="1"/>
  <c r="G71" i="1"/>
  <c r="I71" i="1" s="1"/>
  <c r="G66" i="1"/>
  <c r="G60" i="1"/>
  <c r="I60" i="1" s="1"/>
  <c r="G61" i="1"/>
  <c r="I61" i="1" s="1"/>
  <c r="G62" i="1"/>
  <c r="I62" i="1" s="1"/>
  <c r="G63" i="1"/>
  <c r="I63" i="1" s="1"/>
  <c r="G64" i="1"/>
  <c r="I64" i="1" s="1"/>
  <c r="G59" i="1"/>
  <c r="I59" i="1" s="1"/>
  <c r="G53" i="1"/>
  <c r="I53" i="1" s="1"/>
  <c r="G54" i="1"/>
  <c r="I54" i="1" s="1"/>
  <c r="G55" i="1"/>
  <c r="I55" i="1" s="1"/>
  <c r="G56" i="1"/>
  <c r="I56" i="1" s="1"/>
  <c r="G57" i="1"/>
  <c r="I57" i="1" s="1"/>
  <c r="G52" i="1"/>
  <c r="G49" i="1"/>
  <c r="I49" i="1" s="1"/>
  <c r="G48" i="1"/>
  <c r="G22" i="1"/>
  <c r="I22" i="1" s="1"/>
  <c r="G23" i="1"/>
  <c r="I23" i="1" s="1"/>
  <c r="G24" i="1"/>
  <c r="I24" i="1" s="1"/>
  <c r="G25" i="1"/>
  <c r="I25" i="1" s="1"/>
  <c r="G26" i="1"/>
  <c r="I26" i="1" s="1"/>
  <c r="G27" i="1"/>
  <c r="I27" i="1" s="1"/>
  <c r="G28" i="1"/>
  <c r="I28" i="1" s="1"/>
  <c r="G29" i="1"/>
  <c r="I29" i="1" s="1"/>
  <c r="G30" i="1"/>
  <c r="I30" i="1" s="1"/>
  <c r="G31" i="1"/>
  <c r="I31" i="1" s="1"/>
  <c r="G32" i="1"/>
  <c r="I32" i="1" s="1"/>
  <c r="G33" i="1"/>
  <c r="I33" i="1" s="1"/>
  <c r="G34" i="1"/>
  <c r="I34" i="1" s="1"/>
  <c r="G35" i="1"/>
  <c r="I35" i="1" s="1"/>
  <c r="G36" i="1"/>
  <c r="I36" i="1" s="1"/>
  <c r="G37" i="1"/>
  <c r="I37" i="1" s="1"/>
  <c r="G38" i="1"/>
  <c r="I38" i="1" s="1"/>
  <c r="G39" i="1"/>
  <c r="I39" i="1" s="1"/>
  <c r="G40" i="1"/>
  <c r="I40" i="1" s="1"/>
  <c r="G41" i="1"/>
  <c r="I41" i="1" s="1"/>
  <c r="G42" i="1"/>
  <c r="I42" i="1" s="1"/>
  <c r="G43" i="1"/>
  <c r="I43" i="1" s="1"/>
  <c r="G44" i="1"/>
  <c r="I44" i="1" s="1"/>
  <c r="G45" i="1"/>
  <c r="I45" i="1" s="1"/>
  <c r="G21" i="1"/>
  <c r="I21" i="1" s="1"/>
  <c r="G14" i="1"/>
  <c r="I14" i="1" s="1"/>
  <c r="G15" i="1"/>
  <c r="I15" i="1" s="1"/>
  <c r="G16" i="1"/>
  <c r="G17" i="1"/>
  <c r="I17" i="1" s="1"/>
  <c r="G18" i="1"/>
  <c r="I18" i="1" s="1"/>
  <c r="G19" i="1"/>
  <c r="I19" i="1" s="1"/>
  <c r="G13" i="1"/>
  <c r="I13" i="1" s="1"/>
  <c r="G174" i="1" l="1"/>
  <c r="G76" i="1"/>
  <c r="I170" i="1"/>
  <c r="G169" i="1"/>
  <c r="G72" i="1"/>
  <c r="I150" i="1"/>
  <c r="I149" i="1" s="1"/>
  <c r="I374" i="1"/>
  <c r="G373" i="1"/>
  <c r="G114" i="1"/>
  <c r="G387" i="1"/>
  <c r="I93" i="1"/>
  <c r="I92" i="1" s="1"/>
  <c r="G94" i="1"/>
  <c r="G117" i="1"/>
  <c r="G381" i="1"/>
  <c r="G380" i="1" s="1"/>
  <c r="G338" i="1"/>
  <c r="I339" i="1"/>
  <c r="I338" i="1" s="1"/>
  <c r="AB31" i="4" s="1"/>
  <c r="G290" i="1"/>
  <c r="G258" i="1"/>
  <c r="G209" i="1"/>
  <c r="I210" i="1"/>
  <c r="G191" i="1"/>
  <c r="G186" i="1"/>
  <c r="G163" i="1"/>
  <c r="G158" i="1"/>
  <c r="G154" i="1"/>
  <c r="I155" i="1"/>
  <c r="I154" i="1" s="1"/>
  <c r="G151" i="1"/>
  <c r="I152" i="1"/>
  <c r="G146" i="1"/>
  <c r="G143" i="1"/>
  <c r="G135" i="1"/>
  <c r="G129" i="1"/>
  <c r="G121" i="1"/>
  <c r="I115" i="1"/>
  <c r="G110" i="1"/>
  <c r="G98" i="1"/>
  <c r="G82" i="1"/>
  <c r="I83" i="1"/>
  <c r="G75" i="1"/>
  <c r="I77" i="1"/>
  <c r="I73" i="1"/>
  <c r="G65" i="1"/>
  <c r="G51" i="1"/>
  <c r="G47" i="1"/>
  <c r="G46" i="1" s="1"/>
  <c r="G20" i="1"/>
  <c r="I48" i="1"/>
  <c r="I47" i="1" s="1"/>
  <c r="I46" i="1" s="1"/>
  <c r="AB13" i="4" s="1"/>
  <c r="I66" i="1"/>
  <c r="I81" i="1"/>
  <c r="I80" i="1" s="1"/>
  <c r="I95" i="1"/>
  <c r="I94" i="1" s="1"/>
  <c r="I99" i="1"/>
  <c r="I98" i="1" s="1"/>
  <c r="I111" i="1"/>
  <c r="I110" i="1" s="1"/>
  <c r="I130" i="1"/>
  <c r="I129" i="1" s="1"/>
  <c r="I136" i="1"/>
  <c r="I135" i="1" s="1"/>
  <c r="AB19" i="4" s="1"/>
  <c r="I175" i="1"/>
  <c r="G200" i="1"/>
  <c r="I291" i="1"/>
  <c r="I388" i="1"/>
  <c r="G342" i="1"/>
  <c r="G132" i="1"/>
  <c r="G58" i="1"/>
  <c r="G397" i="1"/>
  <c r="I52" i="1"/>
  <c r="G237" i="1"/>
  <c r="G12" i="1"/>
  <c r="G12" i="5" s="1"/>
  <c r="I429" i="5" s="1"/>
  <c r="I432" i="5" s="1"/>
  <c r="I172" i="1"/>
  <c r="G358" i="1"/>
  <c r="I250" i="1"/>
  <c r="I144" i="1"/>
  <c r="I143" i="1" s="1"/>
  <c r="I399" i="1"/>
  <c r="I16" i="1"/>
  <c r="G390" i="1"/>
  <c r="I370" i="1"/>
  <c r="G205" i="1"/>
  <c r="G107" i="1"/>
  <c r="I201" i="1"/>
  <c r="I400" i="1"/>
  <c r="H99" i="2"/>
  <c r="H90" i="2"/>
  <c r="H76" i="2"/>
  <c r="H67" i="2"/>
  <c r="H83" i="2" s="1"/>
  <c r="H84" i="2" s="1"/>
  <c r="H43" i="2"/>
  <c r="H34" i="2"/>
  <c r="H20" i="2"/>
  <c r="H11" i="2"/>
  <c r="J400" i="1"/>
  <c r="J399" i="1"/>
  <c r="J398" i="1"/>
  <c r="J396" i="1"/>
  <c r="J395" i="1"/>
  <c r="J394" i="1"/>
  <c r="J393" i="1"/>
  <c r="J392" i="1"/>
  <c r="J391" i="1"/>
  <c r="J389" i="1"/>
  <c r="J388" i="1"/>
  <c r="J385" i="1"/>
  <c r="J384" i="1"/>
  <c r="J383" i="1"/>
  <c r="J382" i="1"/>
  <c r="J379" i="1"/>
  <c r="J378" i="1"/>
  <c r="J377" i="1"/>
  <c r="J376" i="1"/>
  <c r="J375" i="1"/>
  <c r="J374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1" i="1"/>
  <c r="J340" i="1"/>
  <c r="J339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8" i="1"/>
  <c r="J207" i="1"/>
  <c r="J206" i="1"/>
  <c r="J204" i="1"/>
  <c r="J203" i="1"/>
  <c r="J202" i="1"/>
  <c r="J201" i="1"/>
  <c r="J199" i="1"/>
  <c r="J198" i="1"/>
  <c r="J197" i="1"/>
  <c r="J196" i="1"/>
  <c r="J195" i="1"/>
  <c r="J194" i="1"/>
  <c r="J193" i="1"/>
  <c r="J192" i="1"/>
  <c r="J190" i="1"/>
  <c r="J189" i="1"/>
  <c r="J188" i="1"/>
  <c r="J187" i="1"/>
  <c r="J185" i="1"/>
  <c r="J184" i="1"/>
  <c r="J183" i="1"/>
  <c r="J182" i="1"/>
  <c r="J181" i="1"/>
  <c r="J180" i="1"/>
  <c r="J179" i="1"/>
  <c r="J178" i="1"/>
  <c r="J177" i="1"/>
  <c r="J176" i="1"/>
  <c r="J175" i="1"/>
  <c r="J172" i="1"/>
  <c r="J171" i="1"/>
  <c r="J170" i="1"/>
  <c r="J168" i="1"/>
  <c r="J167" i="1"/>
  <c r="J166" i="1"/>
  <c r="J165" i="1"/>
  <c r="J164" i="1"/>
  <c r="J162" i="1"/>
  <c r="J161" i="1"/>
  <c r="J160" i="1"/>
  <c r="J159" i="1"/>
  <c r="J157" i="1"/>
  <c r="J156" i="1"/>
  <c r="J155" i="1"/>
  <c r="J153" i="1"/>
  <c r="J152" i="1"/>
  <c r="J150" i="1"/>
  <c r="J149" i="1" s="1"/>
  <c r="J148" i="1"/>
  <c r="I146" i="1"/>
  <c r="J147" i="1"/>
  <c r="J145" i="1"/>
  <c r="J144" i="1"/>
  <c r="J141" i="1"/>
  <c r="J140" i="1"/>
  <c r="J139" i="1"/>
  <c r="J138" i="1"/>
  <c r="J137" i="1"/>
  <c r="J136" i="1"/>
  <c r="J134" i="1"/>
  <c r="J133" i="1"/>
  <c r="I132" i="1"/>
  <c r="J131" i="1"/>
  <c r="J130" i="1"/>
  <c r="J128" i="1"/>
  <c r="J127" i="1"/>
  <c r="J126" i="1"/>
  <c r="J125" i="1"/>
  <c r="J124" i="1"/>
  <c r="J123" i="1"/>
  <c r="J122" i="1"/>
  <c r="J119" i="1"/>
  <c r="J118" i="1"/>
  <c r="I117" i="1"/>
  <c r="J116" i="1"/>
  <c r="J115" i="1"/>
  <c r="J113" i="1"/>
  <c r="J112" i="1"/>
  <c r="J111" i="1"/>
  <c r="J109" i="1"/>
  <c r="J108" i="1"/>
  <c r="J106" i="1"/>
  <c r="J105" i="1"/>
  <c r="J104" i="1"/>
  <c r="J103" i="1"/>
  <c r="J102" i="1"/>
  <c r="J101" i="1"/>
  <c r="J100" i="1"/>
  <c r="J99" i="1"/>
  <c r="J96" i="1"/>
  <c r="J95" i="1"/>
  <c r="J93" i="1"/>
  <c r="J92" i="1" s="1"/>
  <c r="J90" i="1"/>
  <c r="J89" i="1"/>
  <c r="J88" i="1"/>
  <c r="J87" i="1"/>
  <c r="J86" i="1"/>
  <c r="J85" i="1"/>
  <c r="J84" i="1"/>
  <c r="J83" i="1"/>
  <c r="J81" i="1"/>
  <c r="J80" i="1" s="1"/>
  <c r="J79" i="1"/>
  <c r="J78" i="1"/>
  <c r="J77" i="1"/>
  <c r="J74" i="1"/>
  <c r="J73" i="1"/>
  <c r="J71" i="1"/>
  <c r="J70" i="1"/>
  <c r="J69" i="1"/>
  <c r="J68" i="1"/>
  <c r="J67" i="1"/>
  <c r="J66" i="1"/>
  <c r="J64" i="1"/>
  <c r="J63" i="1"/>
  <c r="J62" i="1"/>
  <c r="J61" i="1"/>
  <c r="J60" i="1"/>
  <c r="J59" i="1"/>
  <c r="J57" i="1"/>
  <c r="J56" i="1"/>
  <c r="J55" i="1"/>
  <c r="J54" i="1"/>
  <c r="J53" i="1"/>
  <c r="J52" i="1"/>
  <c r="J49" i="1"/>
  <c r="J48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19" i="1"/>
  <c r="J18" i="1"/>
  <c r="J17" i="1"/>
  <c r="J16" i="1"/>
  <c r="J15" i="1"/>
  <c r="J14" i="1"/>
  <c r="J13" i="1"/>
  <c r="E7" i="3"/>
  <c r="H27" i="2" l="1"/>
  <c r="H28" i="2" s="1"/>
  <c r="Z31" i="4"/>
  <c r="R31" i="4"/>
  <c r="J31" i="4"/>
  <c r="T31" i="4"/>
  <c r="L31" i="4"/>
  <c r="D31" i="4"/>
  <c r="V31" i="4"/>
  <c r="N31" i="4"/>
  <c r="F31" i="4"/>
  <c r="X31" i="4"/>
  <c r="P31" i="4"/>
  <c r="H31" i="4"/>
  <c r="T19" i="4"/>
  <c r="L19" i="4"/>
  <c r="D19" i="4"/>
  <c r="P19" i="4"/>
  <c r="Z19" i="4"/>
  <c r="R19" i="4"/>
  <c r="J19" i="4"/>
  <c r="V19" i="4"/>
  <c r="N19" i="4"/>
  <c r="F19" i="4"/>
  <c r="X19" i="4"/>
  <c r="H19" i="4"/>
  <c r="T13" i="4"/>
  <c r="V13" i="4"/>
  <c r="F13" i="4"/>
  <c r="N13" i="4"/>
  <c r="D13" i="4"/>
  <c r="P13" i="4"/>
  <c r="L13" i="4"/>
  <c r="R13" i="4"/>
  <c r="J13" i="4"/>
  <c r="Z13" i="4"/>
  <c r="H13" i="4"/>
  <c r="X13" i="4"/>
  <c r="H50" i="2"/>
  <c r="H51" i="2" s="1"/>
  <c r="J117" i="1"/>
  <c r="J114" i="1"/>
  <c r="G386" i="1"/>
  <c r="J146" i="1"/>
  <c r="J387" i="1"/>
  <c r="J342" i="1"/>
  <c r="J258" i="1"/>
  <c r="J205" i="1"/>
  <c r="G173" i="1"/>
  <c r="J163" i="1"/>
  <c r="G142" i="1"/>
  <c r="J132" i="1"/>
  <c r="J129" i="1"/>
  <c r="G120" i="1"/>
  <c r="J110" i="1"/>
  <c r="G91" i="1"/>
  <c r="J76" i="1"/>
  <c r="J75" i="1" s="1"/>
  <c r="J72" i="1"/>
  <c r="G50" i="1"/>
  <c r="J20" i="1"/>
  <c r="J12" i="1"/>
  <c r="J82" i="1"/>
  <c r="J121" i="1"/>
  <c r="J154" i="1"/>
  <c r="J338" i="1"/>
  <c r="J390" i="1"/>
  <c r="J58" i="1"/>
  <c r="J158" i="1"/>
  <c r="J169" i="1"/>
  <c r="J174" i="1"/>
  <c r="J381" i="1"/>
  <c r="J380" i="1" s="1"/>
  <c r="J98" i="1"/>
  <c r="J135" i="1"/>
  <c r="J51" i="1"/>
  <c r="J65" i="1"/>
  <c r="J143" i="1"/>
  <c r="J186" i="1"/>
  <c r="J191" i="1"/>
  <c r="J373" i="1"/>
  <c r="J237" i="1"/>
  <c r="J358" i="1"/>
  <c r="J200" i="1"/>
  <c r="J107" i="1"/>
  <c r="J397" i="1"/>
  <c r="I387" i="1"/>
  <c r="I381" i="1"/>
  <c r="I380" i="1" s="1"/>
  <c r="AB35" i="4" s="1"/>
  <c r="I342" i="1"/>
  <c r="AB32" i="4" s="1"/>
  <c r="I237" i="1"/>
  <c r="AB28" i="4" s="1"/>
  <c r="I158" i="1"/>
  <c r="I151" i="1"/>
  <c r="I114" i="1"/>
  <c r="I107" i="1"/>
  <c r="I76" i="1"/>
  <c r="I75" i="1" s="1"/>
  <c r="AB15" i="4" s="1"/>
  <c r="I12" i="1"/>
  <c r="AB11" i="4" s="1"/>
  <c r="I58" i="1"/>
  <c r="I65" i="1"/>
  <c r="I51" i="1"/>
  <c r="I82" i="1"/>
  <c r="AB16" i="4" s="1"/>
  <c r="I169" i="1"/>
  <c r="AB22" i="4" s="1"/>
  <c r="I209" i="1"/>
  <c r="AB27" i="4" s="1"/>
  <c r="I290" i="1"/>
  <c r="AB30" i="4" s="1"/>
  <c r="I72" i="1"/>
  <c r="I121" i="1"/>
  <c r="I120" i="1" s="1"/>
  <c r="AB18" i="4" s="1"/>
  <c r="I191" i="1"/>
  <c r="AB24" i="4" s="1"/>
  <c r="J94" i="1"/>
  <c r="I163" i="1"/>
  <c r="AB21" i="4" s="1"/>
  <c r="I186" i="1"/>
  <c r="J209" i="1"/>
  <c r="J290" i="1"/>
  <c r="I358" i="1"/>
  <c r="AB33" i="4" s="1"/>
  <c r="I373" i="1"/>
  <c r="AB34" i="4" s="1"/>
  <c r="I390" i="1"/>
  <c r="I205" i="1"/>
  <c r="AB26" i="4" s="1"/>
  <c r="I258" i="1"/>
  <c r="AB29" i="4" s="1"/>
  <c r="I397" i="1"/>
  <c r="I20" i="1"/>
  <c r="AB12" i="4" s="1"/>
  <c r="J47" i="1"/>
  <c r="J46" i="1" s="1"/>
  <c r="I174" i="1"/>
  <c r="I200" i="1"/>
  <c r="AB25" i="4" s="1"/>
  <c r="J151" i="1"/>
  <c r="H106" i="2"/>
  <c r="H107" i="2" s="1"/>
  <c r="P35" i="4" l="1"/>
  <c r="V35" i="4"/>
  <c r="X35" i="4"/>
  <c r="F35" i="4"/>
  <c r="N35" i="4"/>
  <c r="Z35" i="4"/>
  <c r="H35" i="4"/>
  <c r="L35" i="4"/>
  <c r="J35" i="4"/>
  <c r="T35" i="4"/>
  <c r="R35" i="4"/>
  <c r="D35" i="4"/>
  <c r="V34" i="4"/>
  <c r="F34" i="4"/>
  <c r="N34" i="4"/>
  <c r="X34" i="4"/>
  <c r="T34" i="4"/>
  <c r="J34" i="4"/>
  <c r="H34" i="4"/>
  <c r="L34" i="4"/>
  <c r="D34" i="4"/>
  <c r="Z34" i="4"/>
  <c r="R34" i="4"/>
  <c r="P34" i="4"/>
  <c r="N33" i="4"/>
  <c r="L33" i="4"/>
  <c r="T33" i="4"/>
  <c r="V33" i="4"/>
  <c r="D33" i="4"/>
  <c r="X33" i="4"/>
  <c r="F33" i="4"/>
  <c r="J33" i="4"/>
  <c r="Z33" i="4"/>
  <c r="P33" i="4"/>
  <c r="R33" i="4"/>
  <c r="H33" i="4"/>
  <c r="Z32" i="4"/>
  <c r="V32" i="4"/>
  <c r="J32" i="4"/>
  <c r="F32" i="4"/>
  <c r="X32" i="4"/>
  <c r="L32" i="4"/>
  <c r="T32" i="4"/>
  <c r="R32" i="4"/>
  <c r="D32" i="4"/>
  <c r="H32" i="4"/>
  <c r="N32" i="4"/>
  <c r="P32" i="4"/>
  <c r="P30" i="4"/>
  <c r="V30" i="4"/>
  <c r="F30" i="4"/>
  <c r="N30" i="4"/>
  <c r="X30" i="4"/>
  <c r="H30" i="4"/>
  <c r="T30" i="4"/>
  <c r="L30" i="4"/>
  <c r="D30" i="4"/>
  <c r="Z30" i="4"/>
  <c r="R30" i="4"/>
  <c r="J30" i="4"/>
  <c r="N29" i="4"/>
  <c r="D29" i="4"/>
  <c r="T29" i="4"/>
  <c r="F29" i="4"/>
  <c r="V29" i="4"/>
  <c r="H29" i="4"/>
  <c r="L29" i="4"/>
  <c r="Z29" i="4"/>
  <c r="X29" i="4"/>
  <c r="P29" i="4"/>
  <c r="J29" i="4"/>
  <c r="R29" i="4"/>
  <c r="Z28" i="4"/>
  <c r="N28" i="4"/>
  <c r="D28" i="4"/>
  <c r="X28" i="4"/>
  <c r="R28" i="4"/>
  <c r="F28" i="4"/>
  <c r="T28" i="4"/>
  <c r="J28" i="4"/>
  <c r="V28" i="4"/>
  <c r="L28" i="4"/>
  <c r="P28" i="4"/>
  <c r="H28" i="4"/>
  <c r="T27" i="4"/>
  <c r="L27" i="4"/>
  <c r="D27" i="4"/>
  <c r="V27" i="4"/>
  <c r="N27" i="4"/>
  <c r="F27" i="4"/>
  <c r="X27" i="4"/>
  <c r="P27" i="4"/>
  <c r="H27" i="4"/>
  <c r="Z27" i="4"/>
  <c r="R27" i="4"/>
  <c r="J27" i="4"/>
  <c r="P26" i="4"/>
  <c r="N26" i="4"/>
  <c r="V26" i="4"/>
  <c r="F26" i="4"/>
  <c r="Z26" i="4"/>
  <c r="X26" i="4"/>
  <c r="H26" i="4"/>
  <c r="R26" i="4"/>
  <c r="T26" i="4"/>
  <c r="J26" i="4"/>
  <c r="D26" i="4"/>
  <c r="L26" i="4"/>
  <c r="F25" i="4"/>
  <c r="N25" i="4"/>
  <c r="V25" i="4"/>
  <c r="X25" i="4"/>
  <c r="Z25" i="4"/>
  <c r="P25" i="4"/>
  <c r="L25" i="4"/>
  <c r="H25" i="4"/>
  <c r="J25" i="4"/>
  <c r="T25" i="4"/>
  <c r="R25" i="4"/>
  <c r="D25" i="4"/>
  <c r="T24" i="4"/>
  <c r="J24" i="4"/>
  <c r="R24" i="4"/>
  <c r="V24" i="4"/>
  <c r="L24" i="4"/>
  <c r="F24" i="4"/>
  <c r="Z24" i="4"/>
  <c r="N24" i="4"/>
  <c r="D24" i="4"/>
  <c r="X24" i="4"/>
  <c r="P24" i="4"/>
  <c r="H24" i="4"/>
  <c r="Z22" i="4"/>
  <c r="X22" i="4"/>
  <c r="F22" i="4"/>
  <c r="H22" i="4"/>
  <c r="P22" i="4"/>
  <c r="V22" i="4"/>
  <c r="T22" i="4"/>
  <c r="L22" i="4"/>
  <c r="D22" i="4"/>
  <c r="R22" i="4"/>
  <c r="N22" i="4"/>
  <c r="J22" i="4"/>
  <c r="F21" i="4"/>
  <c r="D21" i="4"/>
  <c r="N21" i="4"/>
  <c r="V21" i="4"/>
  <c r="Z21" i="4"/>
  <c r="H21" i="4"/>
  <c r="R21" i="4"/>
  <c r="T21" i="4"/>
  <c r="P21" i="4"/>
  <c r="L21" i="4"/>
  <c r="J21" i="4"/>
  <c r="X21" i="4"/>
  <c r="X18" i="4"/>
  <c r="P18" i="4"/>
  <c r="V18" i="4"/>
  <c r="Z18" i="4"/>
  <c r="F18" i="4"/>
  <c r="N18" i="4"/>
  <c r="D18" i="4"/>
  <c r="R18" i="4"/>
  <c r="H18" i="4"/>
  <c r="J18" i="4"/>
  <c r="T18" i="4"/>
  <c r="L18" i="4"/>
  <c r="X16" i="4"/>
  <c r="R16" i="4"/>
  <c r="F16" i="4"/>
  <c r="T16" i="4"/>
  <c r="J16" i="4"/>
  <c r="V16" i="4"/>
  <c r="L16" i="4"/>
  <c r="Z16" i="4"/>
  <c r="N16" i="4"/>
  <c r="D16" i="4"/>
  <c r="H16" i="4"/>
  <c r="P16" i="4"/>
  <c r="Z15" i="4"/>
  <c r="R15" i="4"/>
  <c r="J15" i="4"/>
  <c r="H15" i="4"/>
  <c r="T15" i="4"/>
  <c r="L15" i="4"/>
  <c r="D15" i="4"/>
  <c r="P15" i="4"/>
  <c r="V15" i="4"/>
  <c r="N15" i="4"/>
  <c r="F15" i="4"/>
  <c r="X15" i="4"/>
  <c r="T12" i="4"/>
  <c r="D12" i="4"/>
  <c r="V12" i="4"/>
  <c r="F12" i="4"/>
  <c r="Z12" i="4"/>
  <c r="L12" i="4"/>
  <c r="N12" i="4"/>
  <c r="R12" i="4"/>
  <c r="X12" i="4"/>
  <c r="H12" i="4"/>
  <c r="P12" i="4"/>
  <c r="J12" i="4"/>
  <c r="Z11" i="4"/>
  <c r="J11" i="4"/>
  <c r="N11" i="4"/>
  <c r="D11" i="4"/>
  <c r="V11" i="4"/>
  <c r="X11" i="4"/>
  <c r="P11" i="4"/>
  <c r="H11" i="4"/>
  <c r="R11" i="4"/>
  <c r="T11" i="4"/>
  <c r="L11" i="4"/>
  <c r="F11" i="4"/>
  <c r="J173" i="1"/>
  <c r="J142" i="1"/>
  <c r="J120" i="1"/>
  <c r="J91" i="1"/>
  <c r="J50" i="1"/>
  <c r="J386" i="1"/>
  <c r="I91" i="1"/>
  <c r="AB17" i="4" s="1"/>
  <c r="I386" i="1"/>
  <c r="AB36" i="4" s="1"/>
  <c r="I173" i="1"/>
  <c r="AB23" i="4" s="1"/>
  <c r="I142" i="1"/>
  <c r="AB20" i="4" s="1"/>
  <c r="I50" i="1"/>
  <c r="AB14" i="4" s="1"/>
  <c r="T36" i="4" l="1"/>
  <c r="X36" i="4"/>
  <c r="N36" i="4"/>
  <c r="Z36" i="4"/>
  <c r="P36" i="4"/>
  <c r="F36" i="4"/>
  <c r="J36" i="4"/>
  <c r="R36" i="4"/>
  <c r="H36" i="4"/>
  <c r="V36" i="4"/>
  <c r="L36" i="4"/>
  <c r="D36" i="4"/>
  <c r="T23" i="4"/>
  <c r="L23" i="4"/>
  <c r="D23" i="4"/>
  <c r="J23" i="4"/>
  <c r="V23" i="4"/>
  <c r="N23" i="4"/>
  <c r="F23" i="4"/>
  <c r="Z23" i="4"/>
  <c r="X23" i="4"/>
  <c r="P23" i="4"/>
  <c r="H23" i="4"/>
  <c r="R23" i="4"/>
  <c r="X20" i="4"/>
  <c r="R20" i="4"/>
  <c r="F20" i="4"/>
  <c r="D20" i="4"/>
  <c r="T20" i="4"/>
  <c r="J20" i="4"/>
  <c r="Z20" i="4"/>
  <c r="V20" i="4"/>
  <c r="L20" i="4"/>
  <c r="N20" i="4"/>
  <c r="P20" i="4"/>
  <c r="H20" i="4"/>
  <c r="F17" i="4"/>
  <c r="L17" i="4"/>
  <c r="V17" i="4"/>
  <c r="N17" i="4"/>
  <c r="D17" i="4"/>
  <c r="R17" i="4"/>
  <c r="J17" i="4"/>
  <c r="X17" i="4"/>
  <c r="T17" i="4"/>
  <c r="P17" i="4"/>
  <c r="Z17" i="4"/>
  <c r="H17" i="4"/>
  <c r="X14" i="4"/>
  <c r="H14" i="4"/>
  <c r="F14" i="4"/>
  <c r="P14" i="4"/>
  <c r="V14" i="4"/>
  <c r="L14" i="4"/>
  <c r="Z14" i="4"/>
  <c r="D14" i="4"/>
  <c r="R14" i="4"/>
  <c r="N14" i="4"/>
  <c r="T14" i="4"/>
  <c r="J14" i="4"/>
  <c r="H402" i="1"/>
  <c r="H401" i="1" s="1"/>
  <c r="I406" i="1" s="1"/>
  <c r="F401" i="1"/>
  <c r="I404" i="1" s="1"/>
  <c r="G402" i="1"/>
  <c r="J402" i="1"/>
  <c r="J401" i="1" s="1"/>
  <c r="I402" i="1" l="1"/>
  <c r="I401" i="1" s="1"/>
  <c r="AB37" i="4" s="1"/>
  <c r="G401" i="1"/>
  <c r="T37" i="4" l="1"/>
  <c r="T38" i="4" s="1"/>
  <c r="D37" i="4"/>
  <c r="D38" i="4" s="1"/>
  <c r="F37" i="4"/>
  <c r="F38" i="4" s="1"/>
  <c r="L37" i="4"/>
  <c r="L38" i="4" s="1"/>
  <c r="V37" i="4"/>
  <c r="V38" i="4" s="1"/>
  <c r="X37" i="4"/>
  <c r="X38" i="4" s="1"/>
  <c r="N37" i="4"/>
  <c r="N38" i="4" s="1"/>
  <c r="J37" i="4"/>
  <c r="J38" i="4" s="1"/>
  <c r="P37" i="4"/>
  <c r="P38" i="4" s="1"/>
  <c r="H37" i="4"/>
  <c r="H38" i="4" s="1"/>
  <c r="Z37" i="4"/>
  <c r="Z38" i="4" s="1"/>
  <c r="R37" i="4"/>
  <c r="R38" i="4" s="1"/>
  <c r="AB38" i="4"/>
  <c r="AA37" i="4" s="1"/>
  <c r="I407" i="1"/>
  <c r="I416" i="1" s="1"/>
  <c r="I405" i="1"/>
  <c r="Q38" i="4" l="1"/>
  <c r="I38" i="4"/>
  <c r="K38" i="4"/>
  <c r="AA11" i="4"/>
  <c r="AA28" i="4"/>
  <c r="AA30" i="4"/>
  <c r="AA36" i="4"/>
  <c r="AA35" i="4"/>
  <c r="AA16" i="4"/>
  <c r="AA18" i="4"/>
  <c r="AA14" i="4"/>
  <c r="AA24" i="4"/>
  <c r="AA13" i="4"/>
  <c r="AA22" i="4"/>
  <c r="AA31" i="4"/>
  <c r="AA20" i="4"/>
  <c r="AA34" i="4"/>
  <c r="AA23" i="4"/>
  <c r="AA25" i="4"/>
  <c r="AA26" i="4"/>
  <c r="AA12" i="4"/>
  <c r="AA17" i="4"/>
  <c r="AA21" i="4"/>
  <c r="AA27" i="4"/>
  <c r="AA29" i="4"/>
  <c r="AA32" i="4"/>
  <c r="AA15" i="4"/>
  <c r="AA19" i="4"/>
  <c r="AA33" i="4"/>
  <c r="U38" i="4"/>
  <c r="S38" i="4"/>
  <c r="O38" i="4"/>
  <c r="G38" i="4"/>
  <c r="W38" i="4"/>
  <c r="C38" i="4"/>
  <c r="Y38" i="4"/>
  <c r="M38" i="4"/>
  <c r="E38" i="4"/>
  <c r="I408" i="1"/>
  <c r="L410" i="1"/>
  <c r="AA38" i="4" l="1"/>
</calcChain>
</file>

<file path=xl/sharedStrings.xml><?xml version="1.0" encoding="utf-8"?>
<sst xmlns="http://schemas.openxmlformats.org/spreadsheetml/2006/main" count="4890" uniqueCount="1395">
  <si>
    <t xml:space="preserve"> 1 </t>
  </si>
  <si>
    <t>Serviços Iniciais ou Preliminares</t>
  </si>
  <si>
    <t xml:space="preserve"> 1.1 </t>
  </si>
  <si>
    <t>Corte de capoeira fina a foice</t>
  </si>
  <si>
    <t>m²</t>
  </si>
  <si>
    <t>Corte raso e recorte de árvore com diâmetro de tronco maior ou igual a 0,20 m e menor que 0,40 m.af_05/2018</t>
  </si>
  <si>
    <t>Corte raso e recorte de árvore com diâmetro de tronco maior ou igual a 0,40 m e menor que 0,60 m.af_05/2018</t>
  </si>
  <si>
    <t>Corte raso e recorte de árvore com diâmetro de tronco maior ou igual a 0,60 m.af_05/2018</t>
  </si>
  <si>
    <t>Carga e descarga mecanizadas de entulho em caminhão basculante 6 m³</t>
  </si>
  <si>
    <t>m³</t>
  </si>
  <si>
    <t>Aterro manual de valas com solo argilo-arenoso e compactação mecanizada. Af_05/2016</t>
  </si>
  <si>
    <t xml:space="preserve"> 2 </t>
  </si>
  <si>
    <t>Demolições e Retiradas</t>
  </si>
  <si>
    <t xml:space="preserve"> 2.1 </t>
  </si>
  <si>
    <t xml:space="preserve"> 97627U.D1-UFMA </t>
  </si>
  <si>
    <t>Demolição mecanizada de concreto simples, c/martelete, s/ reaproveitamento.</t>
  </si>
  <si>
    <t xml:space="preserve"> 2.2 </t>
  </si>
  <si>
    <t>Demolição de alvenaria de bloco furado, de forma manual, sem reaproveitamento. Af_12/2017</t>
  </si>
  <si>
    <t xml:space="preserve"> 2.3 </t>
  </si>
  <si>
    <t xml:space="preserve"> 2.4 </t>
  </si>
  <si>
    <t xml:space="preserve"> 97627U.D2-UFMA </t>
  </si>
  <si>
    <t>Demolição mecanizada de calçada, piso korodur/ceramico, inclusive contrapiso, c/uso de martelete, espessura até 5cm.</t>
  </si>
  <si>
    <t xml:space="preserve"> 2.5 </t>
  </si>
  <si>
    <t>Demolição de argamassas, de forma manual, sem reaproveitamento. Af_12/2017</t>
  </si>
  <si>
    <t xml:space="preserve"> 2.6 </t>
  </si>
  <si>
    <t xml:space="preserve"> 2.7 </t>
  </si>
  <si>
    <t>Demolição de pavimento intertravado, de forma manual, com reaproveitamento. Af_12/2017</t>
  </si>
  <si>
    <t xml:space="preserve"> 2.8 </t>
  </si>
  <si>
    <t xml:space="preserve"> 04021201-UFMA </t>
  </si>
  <si>
    <t>Remoção/Desmontagem de Estrutura Metlica</t>
  </si>
  <si>
    <t>kg</t>
  </si>
  <si>
    <t xml:space="preserve"> 2.9 </t>
  </si>
  <si>
    <t xml:space="preserve"> 2.10 </t>
  </si>
  <si>
    <t xml:space="preserve"> 2.11 </t>
  </si>
  <si>
    <t xml:space="preserve"> 97650UD-UFMA </t>
  </si>
  <si>
    <t>Remoção manual de trama de madeira p/cobertura, com reaproveitamento.</t>
  </si>
  <si>
    <t xml:space="preserve"> 2.12 </t>
  </si>
  <si>
    <t>Remoção de portas, de forma manual, sem reaproveitamento. Af_12/2017</t>
  </si>
  <si>
    <t xml:space="preserve"> 2.13 </t>
  </si>
  <si>
    <t xml:space="preserve"> 97644UD-UFMA </t>
  </si>
  <si>
    <t>Remoção manual de esquadrias de madeira inclusive forramento, com reaproveitamento.</t>
  </si>
  <si>
    <t xml:space="preserve"> 2.14 </t>
  </si>
  <si>
    <t xml:space="preserve"> 97645UD-UFMA </t>
  </si>
  <si>
    <t>Remoção manual de janelas, s/reaproveitamento.</t>
  </si>
  <si>
    <t xml:space="preserve"> 2.15 </t>
  </si>
  <si>
    <t xml:space="preserve"> 2.16 </t>
  </si>
  <si>
    <t>Remoção de luminárias, de forma manual, sem reaproveitamento. Af_12/2017</t>
  </si>
  <si>
    <t xml:space="preserve"> 2.17 </t>
  </si>
  <si>
    <t xml:space="preserve"> 2.18 </t>
  </si>
  <si>
    <t>Remoção de louças, de forma manual, sem reaproveitamento. Af_12/2017</t>
  </si>
  <si>
    <t xml:space="preserve"> 2.19 </t>
  </si>
  <si>
    <t>Remoção de acessórios, de forma manual, sem reaproveitamento. Af_12/2017</t>
  </si>
  <si>
    <t xml:space="preserve"> 2.20 </t>
  </si>
  <si>
    <t>Remoção de metais sanitários, de forma manual, sem reaproveitamento. Af_12/2017</t>
  </si>
  <si>
    <t xml:space="preserve"> 2.21 </t>
  </si>
  <si>
    <t xml:space="preserve"> 2.22 </t>
  </si>
  <si>
    <t xml:space="preserve"> 97640UD-UFMA </t>
  </si>
  <si>
    <t>Remoção manual de forros drywall, PVC e fibromineral, com reaproveitamento.</t>
  </si>
  <si>
    <t xml:space="preserve"> 2.23 </t>
  </si>
  <si>
    <t>Remoção de forro de gesso, de forma manual, sem reaproveitamento. Af_12/2017</t>
  </si>
  <si>
    <t xml:space="preserve"> 2.24 </t>
  </si>
  <si>
    <t xml:space="preserve"> 04021101-UFMA </t>
  </si>
  <si>
    <t>Remoção de pintura oleo ou esmalte</t>
  </si>
  <si>
    <t xml:space="preserve"> 2.25 </t>
  </si>
  <si>
    <t xml:space="preserve"> 04021101D-UFMA </t>
  </si>
  <si>
    <t>Remoção /raspagem de pintura PVA ou acrílica</t>
  </si>
  <si>
    <t xml:space="preserve"> 3 </t>
  </si>
  <si>
    <t>Fundação/ Infraestrutura</t>
  </si>
  <si>
    <t xml:space="preserve"> 3.1 </t>
  </si>
  <si>
    <t>Serviços de concreto</t>
  </si>
  <si>
    <t>Concreto fck = 20mpa, traço 1:2,7:3 (em massa seca de cimento/ areia média/ brita 1) - preparo mecânico com betoneira 600 l. Af_05/2021</t>
  </si>
  <si>
    <t>Lançamento/aplicação manual de concreto em fundações</t>
  </si>
  <si>
    <t xml:space="preserve"> 4 </t>
  </si>
  <si>
    <t>Estrutura de Concreto</t>
  </si>
  <si>
    <t xml:space="preserve"> 4.1 </t>
  </si>
  <si>
    <t xml:space="preserve"> 4.1.1 </t>
  </si>
  <si>
    <t>Montagem e desmontagem de fôrma de pilares retangulares e estruturas similares com área média das seções menor ou igual a 0,25 m², pé-direito simples, em chapa de madeira compensada plastificada, 10 utilizações. Af_12/2015</t>
  </si>
  <si>
    <t>Armação de pilar ou viga de estrutura convencional de concreto armado utilizando aço ca-50 de 6,3 mm - montagem. Af_06/2022</t>
  </si>
  <si>
    <t>Armação de pilar ou viga de uma estrutura convencional de concreto armado em um edifício de múltiplos pavimentos utilizando aço ca-50 de 8,0 mm - montagem. Af_12/2015</t>
  </si>
  <si>
    <t>Armação de pilar ou viga de estrutura convencional de concreto armado utilizando aço ca-50 de 12,5 mm - montagem. Af_06/2022</t>
  </si>
  <si>
    <t>Concreto fck = 25mpa, traço 1:2,3:2,7 (em massa seca de cimento/ areia média/ brita 1) - preparo mecânico com betoneira 600 l. Af_05/2021</t>
  </si>
  <si>
    <t>Lançamento com uso de baldes, adensamento e acabamento de concreto em estruturas. Af_12/2015</t>
  </si>
  <si>
    <t xml:space="preserve"> 4.2 </t>
  </si>
  <si>
    <t xml:space="preserve"> 4.2.1 </t>
  </si>
  <si>
    <t>Montagem e desmontagem de fôrma de viga, escoramento metálico, pé-direito simples, em chapa de madeira plastificada, 10 utilizações. Af_09/2020</t>
  </si>
  <si>
    <t>Armação de pilar ou viga de estrutura convencional de concreto armado utilizando aço ca-50 de 10,0 mm - montagem. Af_06/2022</t>
  </si>
  <si>
    <t xml:space="preserve"> 4.3 </t>
  </si>
  <si>
    <t xml:space="preserve"> 4.3.1 </t>
  </si>
  <si>
    <t>Escoramento formas até h = 3,30m, com madeira de 3a qualidade, não aparelhada, aproveitamento tabuas 3x e prumos 4x.</t>
  </si>
  <si>
    <t>Armação de laje de estrutura convencional de concreto armado utilizando aço ca-50 de 6,3 mm - montagem. Af_06/2022</t>
  </si>
  <si>
    <t>Armação de laje de uma estrutura convencional de concreto armado em um edifício de múltiplos pavimentos utilizando aço CA-50 de 8,0mm - montagem. Af_12/2015</t>
  </si>
  <si>
    <t>Armação de laje de estrutura convencional de concreto armado utilizando aço CA-60 de 5,0 mm - montagem. Af_06/2022</t>
  </si>
  <si>
    <t>Concreto fck = 25MPa, traço 1:2,3:2,7 (em massa seca de cimento/ areia média/ brita 1) - preparo mecânico com betoneira 600 l. Af_05/2021</t>
  </si>
  <si>
    <t xml:space="preserve"> 4.4 </t>
  </si>
  <si>
    <t xml:space="preserve"> 4.4.1 </t>
  </si>
  <si>
    <t xml:space="preserve"> 4.4.2 </t>
  </si>
  <si>
    <t xml:space="preserve"> 5 </t>
  </si>
  <si>
    <t>Estrutura metálica e Madeira Cobertura</t>
  </si>
  <si>
    <t xml:space="preserve"> 5.1 </t>
  </si>
  <si>
    <t>Recuperação de Estrutura em Perfil Laminado de Cobertura, quaisquer bitola e espessura</t>
  </si>
  <si>
    <t xml:space="preserve"> 5.1.1 </t>
  </si>
  <si>
    <t>Pilar metálico perfil laminado ou soldado em aço estrutural, com conexões soldadas, inclusos mão de obra, transporte e içamento utilizando guindaste - fornecimento e instalação. Af_01/2020_psa</t>
  </si>
  <si>
    <t>Viga metálica em perfil laminado ou soldado em aço estrutural, com conexões parafusadas, inclusos mão de obra, transporte e içamento utilizando guindaste - fornecimento e instalação. Af_01/2020_psa</t>
  </si>
  <si>
    <t>Contraventamento com cantoneiras de aço, abas iguais, com conexões soldadas, inclusos mão de obra, transporte e içamento utilizando guindaste, para edifícios de 3 a 5 pavimentos - fornecimento e instalação. Af_01/2020_psa</t>
  </si>
  <si>
    <t xml:space="preserve"> 5.2 </t>
  </si>
  <si>
    <t>Recuperação de Estrutura madeira em terças, e/ou tesouras</t>
  </si>
  <si>
    <t xml:space="preserve"> 5.2.1 </t>
  </si>
  <si>
    <t>Estrutura de madeira de lei primeira qualidade, serrada, não aparelhada, para telhas cerâmicas, vãos de 10m até 13m</t>
  </si>
  <si>
    <t xml:space="preserve"> 6 </t>
  </si>
  <si>
    <t>Paredes e Divisórias</t>
  </si>
  <si>
    <t xml:space="preserve"> 6.1 </t>
  </si>
  <si>
    <t>(Composição representativa) do serviço de alvenaria de vedação de blocos vazados de cerâmica de 9x19x19cm (espessura 9cm), para edificação habitacional unifamiliar (casa) e edificação pública padrão. Af_11/2014</t>
  </si>
  <si>
    <t xml:space="preserve"> 6.2 </t>
  </si>
  <si>
    <t xml:space="preserve"> 10010102-UFMA </t>
  </si>
  <si>
    <t>Alvenaria de bloco ceramico seis furos (9x14x19)cm esp. 9cm, c/junta 20mm, assente c/argamassa de cimento e areia (1:5), preparo mecanico.</t>
  </si>
  <si>
    <t xml:space="preserve"> 6.3 </t>
  </si>
  <si>
    <t>Alvenaria de vedação de blocos vazados de concreto de 14x19x39 cm (espessura 14 cm)  e argamassa de assentamento com preparo em betoneira. Af_12/2021</t>
  </si>
  <si>
    <t xml:space="preserve"> 6.4 </t>
  </si>
  <si>
    <t>Verga pré-moldada para portas com até 1,5 m de vão. Af_03/2016</t>
  </si>
  <si>
    <t xml:space="preserve"> 6.5 </t>
  </si>
  <si>
    <t>Parede com placas de gesso acartonado (drywall), para uso interno, com duas faces simples e estrutura metálica com guias simples, com vãos af_06/2017_p</t>
  </si>
  <si>
    <t xml:space="preserve"> 6.6 </t>
  </si>
  <si>
    <t>Alvenaria de vedação com elemento vazado de concreto (cobogó) de 7x50x50cm e argamassa de assentamento com preparo em betoneira. Af_05/2020</t>
  </si>
  <si>
    <t xml:space="preserve"> 6.7 </t>
  </si>
  <si>
    <t>Cerca com mourões de concreto, reto, h=3,00 m, espaçamento de 2,5 m, cravados 0,5 m, com 4 fios de arame farpado nº 14 classe 250 - fornecimento e instalação. Af_05/2020</t>
  </si>
  <si>
    <t xml:space="preserve"> 6.8 </t>
  </si>
  <si>
    <t xml:space="preserve"> 10020103.1D UFMA </t>
  </si>
  <si>
    <t>Painel em Placa Cimentícias (Externa) e estrutura metálica de sustentação/ ancoragem</t>
  </si>
  <si>
    <t xml:space="preserve"> 7 </t>
  </si>
  <si>
    <t>Esquadrias</t>
  </si>
  <si>
    <t xml:space="preserve"> 7.1 </t>
  </si>
  <si>
    <t>Janelas/ basculante de alumínio sem vidros</t>
  </si>
  <si>
    <t xml:space="preserve"> 7.1.1 </t>
  </si>
  <si>
    <t xml:space="preserve"> 12030201 UD UFMA </t>
  </si>
  <si>
    <t>Janela basculante alumínio maxim ar, serie 25, incluso guarnição, sem vidro</t>
  </si>
  <si>
    <t xml:space="preserve"> 7.2 </t>
  </si>
  <si>
    <t>Janelas/ basculante de aço inox/ aluminio, fornecimento e instalação</t>
  </si>
  <si>
    <t xml:space="preserve"> 7.2.1 </t>
  </si>
  <si>
    <t>Janela de aço tipo basculante para vidros, com batente, ferragens e pintura anticorrosiva. Exclusive vidros, acabamento, alizar e contramarco. Fornecimento e instalação. Af_12/2019</t>
  </si>
  <si>
    <t xml:space="preserve"> 7.2.2 </t>
  </si>
  <si>
    <t xml:space="preserve"> 94576UD-UFMA </t>
  </si>
  <si>
    <t>Janela de alumínio de correr, 2 folhas, fixação c/parafuso, vedação c/espuma expansiva PU, c/ vidros, padronizada; Af.07/16.</t>
  </si>
  <si>
    <t xml:space="preserve"> 7.3 </t>
  </si>
  <si>
    <t>Fachada/ pele de vidro, com vidro laminado duplo a partir de 5mm, fornecimento e instalação</t>
  </si>
  <si>
    <t>Portas de madeira</t>
  </si>
  <si>
    <t xml:space="preserve"> 7.4.1 </t>
  </si>
  <si>
    <t xml:space="preserve"> 90823D-UFMA </t>
  </si>
  <si>
    <t>Recomposição/ Instalação de Porta de Madeira semi-oca sem pintura, com dimensões 0,90x2,10m sem dobradiças, aduela, alizar</t>
  </si>
  <si>
    <t xml:space="preserve"> 90823DD-UFMA </t>
  </si>
  <si>
    <t>Recomposição/ Instalação de Porta de Madeira semi-oca sem pintura, com dimensões 0,90x2,10m sem dobradiças, aduela, alizar; com batedor h=40cm, em chapa de aço inox.</t>
  </si>
  <si>
    <t xml:space="preserve"> 90822 D-UFMA </t>
  </si>
  <si>
    <t>Recomposição/ Instalação de Porta de Madeira semi-oca sem pintura, com dimensões 0,80x2,10m sem dobradiças, aduela, alizar</t>
  </si>
  <si>
    <t xml:space="preserve"> 90821D-UFMA </t>
  </si>
  <si>
    <t>Recomposição/ Instalação de Porta de Madeira semi-oca sem pintura, com dimensões 0,70x2,10m sem dobradiças, aduela, alizar</t>
  </si>
  <si>
    <t xml:space="preserve"> 90820D-UFMA </t>
  </si>
  <si>
    <t>Recomposição/ Instalação de Porta de Madeira semi-oca sem pintura, com dimensões 0,60x2,10m sem dobradiças, aduela, alizar</t>
  </si>
  <si>
    <t xml:space="preserve"> 91299 UDDD UFMA </t>
  </si>
  <si>
    <t>Recomposição/ Instalação de Porta de Madeira de lei maciça, qualquer tipo, sem pintura/ verniz, com dimensões 0,70x2,10m sem dobradiças, aduela, alizar;</t>
  </si>
  <si>
    <t xml:space="preserve"> 91299 UD UFMA </t>
  </si>
  <si>
    <t>Recomposição/ Instalação de Porta de Madeira de lei maciça, qualquer tipo, sem pintura/ verniz, com dimensões 0,80x2,10m sem dobradiças, aduela, alizar;</t>
  </si>
  <si>
    <t xml:space="preserve"> 91299UDD UFMA </t>
  </si>
  <si>
    <t>Recomposição/ Instalação de Porta de Madeira de lei maciça, qualquer tipo, sem pintura/ verniz, com dimensões 0,90x2,10m sem dobradiças, aduela, alizar;</t>
  </si>
  <si>
    <t xml:space="preserve"> 7.5 </t>
  </si>
  <si>
    <t>Portas de ferro, padrão UFMA</t>
  </si>
  <si>
    <t xml:space="preserve"> 7.5.1 </t>
  </si>
  <si>
    <t>Porta de ferro de abrir tipo barra chata, com requadro e guarnição completa</t>
  </si>
  <si>
    <t xml:space="preserve"> 12040113 -UFMA </t>
  </si>
  <si>
    <t>Porta de ferro (2,00 X 3,00)m, duas folhas de abrir, com estrutura lateral em tubo de chapa preta (50X50X2)mm altura 3,00m; dois contraventamentos horizontais c/barra chata  (1 X 1/4)" e enchimento vertical sem emenda,  em tubo de chapa preta (20 X 20)mm; espaçamento 10 cm, assentamento com argamassa de cimento e areia (1:3), preparo mecânico..</t>
  </si>
  <si>
    <t>un</t>
  </si>
  <si>
    <t>Grades de Ferro, padrão UFMA</t>
  </si>
  <si>
    <t xml:space="preserve"> 7.6.1 </t>
  </si>
  <si>
    <t xml:space="preserve"> 12040102-UFMA </t>
  </si>
  <si>
    <t>Porta metálica tipo grade padrão UFMA, c/quadro e contraventamento vertical em barra chata (1 1/4X1/4)", espaçamento máximo 50cm; enchimento horizontal em barra de ferro laminado Ø 1/2", espaçamento máximo 12,5cm, cadeados 35mm e porta cadeados, assenta na face interna do vão, c/argamassa de cimento e areia (1:3), preparo mecanico.</t>
  </si>
  <si>
    <t xml:space="preserve"> 12040301.1-UFMA </t>
  </si>
  <si>
    <t>Grade metálica fixa p/janela, padrão UFMA , c/quadro e contraventamento vertical em barra chata (1 1/4X1/4)", espaçamento máximo 50cm; enchimento horizontal em barra de ferro laminado Ø 1/2", espaçamento máximo 12,5cm, assente na face interna do vão, c/argamassa de cimento e areia (1:3), preparo mecanico.</t>
  </si>
  <si>
    <t xml:space="preserve"> 12040301.4-UFMA </t>
  </si>
  <si>
    <t>Grade metálica fixa em tubo de chapa galvanizada (20x20) mm -metalon, c/ quadro e peças horizontal e  vertical formando quadros de no máximo (10x10)cm.</t>
  </si>
  <si>
    <t>Porta de vidro temperado até 10mm</t>
  </si>
  <si>
    <t xml:space="preserve"> 7.7.1 </t>
  </si>
  <si>
    <t xml:space="preserve"> 102184 UD UFMA </t>
  </si>
  <si>
    <t>Recomposição/ Instalação de Porta em vidro temperado incolor, com dimensões 0,90 x 2,10m, tipo abrir, não incluso acessórios, fornecimento e instalação;</t>
  </si>
  <si>
    <t xml:space="preserve"> 102184 UDD UFMA </t>
  </si>
  <si>
    <t>Recomposição/ Instalação de Porta em vidro temperado tonalidade verde, com dimensões 0,90 x 2,10m, tipo abrir, não incluso acessórios, fornecimento e instalação;</t>
  </si>
  <si>
    <t>Porta de alumínio</t>
  </si>
  <si>
    <t xml:space="preserve"> 91341U.D4-UFMA </t>
  </si>
  <si>
    <t>Porta de alumínio de correr, tipo veneziana, med.(0,50x2,10)m,-Completa.</t>
  </si>
  <si>
    <t xml:space="preserve"> 12020101-UFMA </t>
  </si>
  <si>
    <t>Porta em alumínio de abrir tipo veneziana, cor branca, com guarnição e acessórios, completa.</t>
  </si>
  <si>
    <t xml:space="preserve"> 8 </t>
  </si>
  <si>
    <t>Ferragens</t>
  </si>
  <si>
    <t xml:space="preserve"> 8.1 </t>
  </si>
  <si>
    <t>Fechadura de embutir para porta de madeira interna/ externa padrão superior</t>
  </si>
  <si>
    <t xml:space="preserve"> 8.1.1 </t>
  </si>
  <si>
    <t>Fechadura de embutir para portas internas, completa, acabamento padrão médio, com execução de furo - fornecimento e instalação. Af_12/2019</t>
  </si>
  <si>
    <t xml:space="preserve"> 8.1.2 </t>
  </si>
  <si>
    <t>Fechadura de embutir com cilindro, externa, completa, acabamento padrão médio, incluso execução de furo - fornecimento e instalação. Af_12/2019</t>
  </si>
  <si>
    <t xml:space="preserve"> 8.1.3 </t>
  </si>
  <si>
    <t>Tarjeta tipo livre/ocupado para porta de banheiro</t>
  </si>
  <si>
    <t xml:space="preserve"> 8.1.4 </t>
  </si>
  <si>
    <t>Puxador central para esquadria de alumínio</t>
  </si>
  <si>
    <t xml:space="preserve"> 8.1.5 </t>
  </si>
  <si>
    <t>Puxador para PCD, fixado na porta - fornecimento e instalação. Af_01/2020</t>
  </si>
  <si>
    <t xml:space="preserve"> 8.1.6 </t>
  </si>
  <si>
    <t>Jogo de ferragens cromadas para porta de vidro temperado, uma folha composto de dobradiças superior e inferior, trinco, fechadura, contra fechadura com capuchinho sem mola e puxador</t>
  </si>
  <si>
    <t xml:space="preserve"> 8.1.7 </t>
  </si>
  <si>
    <t>Mola hidraulica de piso para porta de vidro temperado</t>
  </si>
  <si>
    <t xml:space="preserve"> 8.2 </t>
  </si>
  <si>
    <t>Fechadura para porta de ferro interna/ externa</t>
  </si>
  <si>
    <t xml:space="preserve"> 8.2.1 </t>
  </si>
  <si>
    <t xml:space="preserve"> 8.2.2 </t>
  </si>
  <si>
    <t xml:space="preserve"> 8.3 </t>
  </si>
  <si>
    <t>Dobradiças</t>
  </si>
  <si>
    <t xml:space="preserve"> 8.3.1 </t>
  </si>
  <si>
    <t xml:space="preserve"> 74047/2U.D1-UFMA </t>
  </si>
  <si>
    <t>Dobradiça em latão, (3 x 2. ½)", esp. Entre (1,9 a 2) mm, c/anel e parafusos.</t>
  </si>
  <si>
    <t xml:space="preserve"> 8.3.2 </t>
  </si>
  <si>
    <t xml:space="preserve"> 74047/2U.D2-UFMA </t>
  </si>
  <si>
    <t>Dobradiça em latão, (4 x 3)", esp. Entre (2,2 a 3,0) mm, c/anel e parafusos.</t>
  </si>
  <si>
    <t xml:space="preserve"> 9 </t>
  </si>
  <si>
    <t>Vidros</t>
  </si>
  <si>
    <t xml:space="preserve"> 9.1 </t>
  </si>
  <si>
    <t>Instalação de vidro liso incolor, e = 4 mm, em esquadria de alumínio ou pvc, fixado com baguete. Af_01/2021_p</t>
  </si>
  <si>
    <t xml:space="preserve"> 9.2 </t>
  </si>
  <si>
    <t>Instalação de vidro liso incolor, e = 5 mm, em esquadria de alumínio ou pvc, fixado com baguete. Af_01/2021_p</t>
  </si>
  <si>
    <t xml:space="preserve"> 9.3 </t>
  </si>
  <si>
    <t>Instalação de vidro liso, e = 4 mm, em esquadria de madeira, fixado com baguete. Af_01/2021</t>
  </si>
  <si>
    <t xml:space="preserve"> 9.4 </t>
  </si>
  <si>
    <t xml:space="preserve"> 102181UD UFMA </t>
  </si>
  <si>
    <t>Substituição de vidro temperado liso verde, e = 8mm, colocado e encaixado em perfil U. Af_01/2021_p</t>
  </si>
  <si>
    <t xml:space="preserve"> 9.5 </t>
  </si>
  <si>
    <t>Espelho cristal espessura 4mm, com moldura em alumínio e compensado 6mm plastificado colado</t>
  </si>
  <si>
    <t xml:space="preserve"> 9.6 </t>
  </si>
  <si>
    <t xml:space="preserve"> 102180UD UFMA </t>
  </si>
  <si>
    <t>Instalação de painel em acrílico transparente 95%, espessura a partir de 4mm, colocado e encaixado em perfil u de alumínio.</t>
  </si>
  <si>
    <t xml:space="preserve"> 10 </t>
  </si>
  <si>
    <t>Cobertura</t>
  </si>
  <si>
    <t xml:space="preserve"> 10.1 </t>
  </si>
  <si>
    <t>Telhamento com telha de aço / alumínio</t>
  </si>
  <si>
    <t xml:space="preserve"> 10.1.1 </t>
  </si>
  <si>
    <t xml:space="preserve"> 94213D-UFMA </t>
  </si>
  <si>
    <t>Recomposição/ Retelhamento com telha de aço / alumínio até duas águas, incluso içamento, sem fornecimento da telha.</t>
  </si>
  <si>
    <t xml:space="preserve"> 10.1.2 </t>
  </si>
  <si>
    <t xml:space="preserve"> 94213DD-UFMA </t>
  </si>
  <si>
    <t>Substituição com telha de aço / alumínio até duas águas, incluso içamento, com fornecimento da telha.</t>
  </si>
  <si>
    <t xml:space="preserve"> 10.2 </t>
  </si>
  <si>
    <t>Telhamento c/telha cerâmica</t>
  </si>
  <si>
    <t xml:space="preserve"> 10.2.1 </t>
  </si>
  <si>
    <t xml:space="preserve"> 94201UD-UFMA </t>
  </si>
  <si>
    <t>Revisão em telhamento com telha cerâmica capa-canal, tipo colonial, com substituição de peças danificadas, incluso transporte vertical, encaliçamento de cumeeiras, beirais e beiras bicas.</t>
  </si>
  <si>
    <t xml:space="preserve"> 10.2.2 </t>
  </si>
  <si>
    <t xml:space="preserve"> 94201DD-UFMA </t>
  </si>
  <si>
    <t>Recomposição/ Retelhamento c/telha cerâmica capa-canal, tipo colonial, mais de 2 águas, sem fornecimento de material</t>
  </si>
  <si>
    <t xml:space="preserve"> 10.3 </t>
  </si>
  <si>
    <t>Telhamento c/telha fibrocimento</t>
  </si>
  <si>
    <t xml:space="preserve"> 10.3.1 </t>
  </si>
  <si>
    <t>Telhamento com telha ondulada de fibrocimento e = 6 mm, com recobrimento lateral de 1 1/4 de onda para telhado com inclinação máxima de 10°, com até 2 águas, incluso içamento. Af_07/2019</t>
  </si>
  <si>
    <t xml:space="preserve"> 10.4 </t>
  </si>
  <si>
    <t>Cumeeira</t>
  </si>
  <si>
    <t xml:space="preserve"> 10.4.1 </t>
  </si>
  <si>
    <t>Cumeeira para telha de fibrocimento estrutural e = 6 mm, incluso acessórios de fixação e içamento. Af_07/2019</t>
  </si>
  <si>
    <t xml:space="preserve"> 10.4.2 </t>
  </si>
  <si>
    <t>Cumeeira e espigão para telha cerâmica emboçada com argamassa traço 1:2:9 (cimento, cal e areia), para telhados com mais de 2 águas, incluso transporte vertical. Af_07/2019</t>
  </si>
  <si>
    <t xml:space="preserve"> 10.5 </t>
  </si>
  <si>
    <t>Rufo</t>
  </si>
  <si>
    <t xml:space="preserve"> 10.5.1 </t>
  </si>
  <si>
    <t xml:space="preserve"> 11040201.3-UFMA </t>
  </si>
  <si>
    <t>Rufo de concreto aparente, 20 MPa, (0,40 x 0,05) m moldado in loco, incluindo forma e armação.</t>
  </si>
  <si>
    <t>m</t>
  </si>
  <si>
    <t xml:space="preserve"> 10.5.2 </t>
  </si>
  <si>
    <t>Rufo externo/interno em chapa de aço galvanizado número 26, corte de 33 cm, incluso içamento. Af_07/2019</t>
  </si>
  <si>
    <t xml:space="preserve"> 10.5.3 </t>
  </si>
  <si>
    <t>Rufo em fibrocimento para telha ondulada e = 6 mm, aba de 26 cm, incluso transporte vertical, exceto contrarrufo. Af_07/2019</t>
  </si>
  <si>
    <t xml:space="preserve"> 10.6 </t>
  </si>
  <si>
    <t>Pingadeiras e Calhas</t>
  </si>
  <si>
    <t xml:space="preserve"> 10.6.1 </t>
  </si>
  <si>
    <t xml:space="preserve"> 11040202.1-UFMA </t>
  </si>
  <si>
    <t>Pingadeira de concreto aparente, 20 MPa, (0,25 x 0,05)m, moldada in loco, incluindo forma e armação.</t>
  </si>
  <si>
    <t xml:space="preserve"> 10.6.2 </t>
  </si>
  <si>
    <t xml:space="preserve"> 11040202.2-UFMA </t>
  </si>
  <si>
    <t>Pingadeira de concreto aparente, 20 MPa, (0,35 x 0,05)m, moldada in loco, incluindo forma e armação.</t>
  </si>
  <si>
    <t xml:space="preserve"> 10.6.3 </t>
  </si>
  <si>
    <t xml:space="preserve"> 10.6.4 </t>
  </si>
  <si>
    <t xml:space="preserve"> 11 </t>
  </si>
  <si>
    <t>Revestimento de Parede e Teto</t>
  </si>
  <si>
    <t xml:space="preserve"> 11.1 </t>
  </si>
  <si>
    <t>Chapisco aplicado em alvenarias e estruturas de concreto internas, com colher de pedreiro.  Argamassa traço 1:3 com preparo em betoneira 400l. Af_06/2014</t>
  </si>
  <si>
    <t xml:space="preserve"> 11.2 </t>
  </si>
  <si>
    <t>Chapisco aplicado em alvenaria (com presença de vãos) e estruturas de concreto de fachada, com equipamento de projeção.  Argamassa traço 1:3 com preparo em betoneira 400 l. Af_06/2014</t>
  </si>
  <si>
    <t xml:space="preserve"> 11.3 </t>
  </si>
  <si>
    <t>(Composição representativa) do serviço de emboço/massa única, aplicado manualmente, traço 1:2:8, em betoneira de 400l, paredes internas, com execução de taliscas, edificação habitacional unifamiliar (casas) e edificação pública padrão. Af_12/2014</t>
  </si>
  <si>
    <t xml:space="preserve"> 11.4 </t>
  </si>
  <si>
    <t>Emboço ou massa única em argamassa traço 1:2:8, preparo mecânico com betoneira 400 l, aplicada manualmente em panos de fachada com presença de vãos, espessura de 25 mm. Af_06/2014</t>
  </si>
  <si>
    <t xml:space="preserve"> 11.5 </t>
  </si>
  <si>
    <t>Revestimento cerâmico para paredes internas com placas tipo esmaltada extra de dimensões 20x20 cm aplicadas em ambientes de área maior que 5 m² a meia altura das paredes. Af_06/2014</t>
  </si>
  <si>
    <t xml:space="preserve"> 12 </t>
  </si>
  <si>
    <t>Forros</t>
  </si>
  <si>
    <t xml:space="preserve"> 12.1 </t>
  </si>
  <si>
    <t>Forro de pvc, liso, para ambientes comerciais, inclusive estrutura de fixação. Af_05/2017_p</t>
  </si>
  <si>
    <t xml:space="preserve"> 12.2 </t>
  </si>
  <si>
    <t xml:space="preserve"> 23010101.1-UFMA </t>
  </si>
  <si>
    <t>Forro modulado em placas de PVC branco (1200x600x12)mm c/estrutura  em perfil "T" de alumínio anodizado natural fosco.</t>
  </si>
  <si>
    <t xml:space="preserve"> 23020101.1-UFMA </t>
  </si>
  <si>
    <t>Forro de gesso acartonado liso c/estrutura  em perfil de alumínio natural.</t>
  </si>
  <si>
    <t xml:space="preserve"> 13 </t>
  </si>
  <si>
    <t>Pintura</t>
  </si>
  <si>
    <t xml:space="preserve"> 13.1 </t>
  </si>
  <si>
    <t>Pintura sobre edificação</t>
  </si>
  <si>
    <t xml:space="preserve"> 13.1.1 </t>
  </si>
  <si>
    <t>Aplicação manual de fundo selador acrílico em panos com presença de vãos de edifícios de múltiplos pavimentos. Af_06/2014</t>
  </si>
  <si>
    <t xml:space="preserve"> 13.1.2 </t>
  </si>
  <si>
    <t>Aplicação e lixamento de massa látex em paredes, uma demão. Af_06/2014</t>
  </si>
  <si>
    <t xml:space="preserve"> 13.1.3 </t>
  </si>
  <si>
    <t>Aplicação manual de pintura com tinta látex acrílica em paredes, duas demãos. Af_06/2014</t>
  </si>
  <si>
    <t xml:space="preserve"> 13.1.4 </t>
  </si>
  <si>
    <t>Aplicação mecânica de pintura com tinta látex pva em teto, duas demãos. Af_06/2014</t>
  </si>
  <si>
    <t xml:space="preserve"> 13.1.5 </t>
  </si>
  <si>
    <t>Pintura em verniz sintético brilhante em madeira, três demãos</t>
  </si>
  <si>
    <t xml:space="preserve"> 13.1.6 </t>
  </si>
  <si>
    <t>Pintura com tinta alquídica de fundo (tipo zarcão) aplicada a rolo ou pincel sobre superfícies metálicas (exceto perfil) executado em obra (por demão). Af_01/2020</t>
  </si>
  <si>
    <t xml:space="preserve"> 13.1.7 </t>
  </si>
  <si>
    <t>Pintura com tinta alquídica de acabamento (esmalte sintético acetinado) aplicada a rolo ou pincel sobre superfícies metálicas (exceto perfil) executado em obra (02 demãos). Af_01/2020</t>
  </si>
  <si>
    <t xml:space="preserve"> 13.1.8 </t>
  </si>
  <si>
    <t xml:space="preserve"> 100722UD UFMA </t>
  </si>
  <si>
    <t>Pintura anticorrosiva em elemento Serralheria</t>
  </si>
  <si>
    <t xml:space="preserve"> 13.1.9 </t>
  </si>
  <si>
    <t xml:space="preserve"> 100758UD UFMA </t>
  </si>
  <si>
    <t>Pintura esmalte sintético em elementos serralheria</t>
  </si>
  <si>
    <t xml:space="preserve"> 84647U.D1-UFMA </t>
  </si>
  <si>
    <t>Pintura epóxi incluso fundo preparador, sem emassamento</t>
  </si>
  <si>
    <t xml:space="preserve"> 13.2 </t>
  </si>
  <si>
    <t>Pintura Viária</t>
  </si>
  <si>
    <t xml:space="preserve"> 13.2.1 </t>
  </si>
  <si>
    <t>Pintura de meio-fio com tinta branca a base de cal (caiação). Af_05/2021</t>
  </si>
  <si>
    <t xml:space="preserve"> 13.2.2 </t>
  </si>
  <si>
    <t>Pintura acrílica de faixas de demarcação em quadra poliesportiva, 5 cm de largura</t>
  </si>
  <si>
    <t xml:space="preserve"> 13.2.3 </t>
  </si>
  <si>
    <t>Sinalização horizontal com tinta retrorrefletiva a base de resina acrílica com microesferas de vidro</t>
  </si>
  <si>
    <t xml:space="preserve"> 13.2.4 </t>
  </si>
  <si>
    <t>Pintura de faixa de pedestre ou zebrada com tinta acrílica, e  = 30 cm, aplicação manual. Af_05/2021</t>
  </si>
  <si>
    <t xml:space="preserve"> 14 </t>
  </si>
  <si>
    <t>Pavimentação</t>
  </si>
  <si>
    <t xml:space="preserve"> 14.1 </t>
  </si>
  <si>
    <t>Lastro de concreto, preparo mecânico, inclusos aditivo impermeabilizante, lançamento e adensamento</t>
  </si>
  <si>
    <t xml:space="preserve"> 14.2 </t>
  </si>
  <si>
    <t>Contrapiso em argamassa traço 1:4 (cimento e areia), preparo mecânico com betoneira 400 l, aplicado em áreas secas sobre laje, aderido, acabamento não reforçado, espessura 2cm. Af_07/2021</t>
  </si>
  <si>
    <t xml:space="preserve"> 14.3 </t>
  </si>
  <si>
    <t xml:space="preserve"> 72137UD.1-UFMA </t>
  </si>
  <si>
    <t>Piso industrial alta resistência, espessura 12mm, incluso juntas de dilatação plásticas e polimento mecanizado.</t>
  </si>
  <si>
    <t xml:space="preserve"> 14.4 </t>
  </si>
  <si>
    <t xml:space="preserve"> 14.5 </t>
  </si>
  <si>
    <t>(Composição representativa) do serviço de revestimento cerâmico para piso com placas tipo esmaltada extra de dimensões 35x35 cm, para edificação habitacional unifamiliar (casa) e edificação pública padrão. Af_11/2014</t>
  </si>
  <si>
    <t xml:space="preserve"> 14.6 </t>
  </si>
  <si>
    <t>Rodapé cerâmico de 7cm de altura com placas tipo esmaltada extra de dimensões 45x45cm. Af_06/2014</t>
  </si>
  <si>
    <t xml:space="preserve"> 14.7 </t>
  </si>
  <si>
    <t xml:space="preserve"> 94994UD-UFMA </t>
  </si>
  <si>
    <t>Execução de passeio (calçada) ou piso de concreto moldado in loco, c/junta de madeira h=10cm, acabamento convencional, espessura 8 cm, não armado.</t>
  </si>
  <si>
    <t xml:space="preserve"> 14.8 </t>
  </si>
  <si>
    <t>Piso vinílico semi-flexível em placas, padrão liso, espessura 3,2 mm, fixado com cola. Af_09/2020</t>
  </si>
  <si>
    <t xml:space="preserve"> 15 </t>
  </si>
  <si>
    <t>Elementos de granito</t>
  </si>
  <si>
    <t xml:space="preserve"> 15.1 </t>
  </si>
  <si>
    <t>Divisória em granito branco polido, esp = 3cm, assentado com argamassa traço 1:4, arremate em cimento branco, exclusive ferragens</t>
  </si>
  <si>
    <t xml:space="preserve"> 15.2 </t>
  </si>
  <si>
    <t>Soleira em granito, largura 15 cm, espessura 2,0 cm. Af_09/2020</t>
  </si>
  <si>
    <t xml:space="preserve"> 15.3 </t>
  </si>
  <si>
    <t xml:space="preserve"> 84088UD-UFMA </t>
  </si>
  <si>
    <t>Peitoril c/rebaixo em granito cinza, largura 18 cm, espessura 2,0 cm, assente c/argamassa de cimento e areia 1:3, preparo mecânico.</t>
  </si>
  <si>
    <t xml:space="preserve"> 15.4 </t>
  </si>
  <si>
    <t xml:space="preserve"> 25050101.5-UFMA </t>
  </si>
  <si>
    <t>Bancada/Tampo de granito cinza andorinha , largura total 0,60m, engastada em alvenaria, c/apoio em cantoneira pintada  (1.1/2 x 1/4)", a cada metro, inclusive  assentamento c/argamassa de cimento e areia 1:3.</t>
  </si>
  <si>
    <t xml:space="preserve"> 16 </t>
  </si>
  <si>
    <t xml:space="preserve"> 16.1 </t>
  </si>
  <si>
    <t>Suporte mão francesa em aço, abas iguais 30 cm, capacidade mínima 60 kg, branco - fornecimento e instalação. Af_01/2020</t>
  </si>
  <si>
    <t xml:space="preserve"> 16.2 </t>
  </si>
  <si>
    <t xml:space="preserve"> 090401UD UFMA </t>
  </si>
  <si>
    <t>Recuperação/ Reconstituição de TOTEM em estrutura metálica interna e PAINEL EM PLACA DE ALUMINIO COMPOSTO METALICO - ACM externa, exclusive pintura e reconstituição de base</t>
  </si>
  <si>
    <t xml:space="preserve"> 16.3 </t>
  </si>
  <si>
    <t xml:space="preserve"> 25010101-UFMA </t>
  </si>
  <si>
    <t xml:space="preserve"> 17 </t>
  </si>
  <si>
    <t>Aparelhos e Metais Sanitários</t>
  </si>
  <si>
    <t xml:space="preserve"> 17.1 </t>
  </si>
  <si>
    <t>Vaso sanitário sifonado convencional para PCD sem furo frontal com  louça branca sem assento -  fornecimento e instalação. Af_01/2020</t>
  </si>
  <si>
    <t xml:space="preserve"> 17.2 </t>
  </si>
  <si>
    <t>Vaso sanitário sifonado com caixa acoplada louça branca, incluso engate flexível em plástico branco, 1/2  x 40cm - fornecimento e instalação. Af_01/2020</t>
  </si>
  <si>
    <t xml:space="preserve"> 17.3 </t>
  </si>
  <si>
    <t>Assento sanitário convencional - fornecimento e instalação. Af_01/2020</t>
  </si>
  <si>
    <t xml:space="preserve"> 17.4 </t>
  </si>
  <si>
    <t xml:space="preserve"> 86904D -UFMA </t>
  </si>
  <si>
    <t>Substituição de cuba de sobrepor  de louça branca</t>
  </si>
  <si>
    <t xml:space="preserve"> 17.5 </t>
  </si>
  <si>
    <t>Lavatório louça branca suspenso, 29,5 x 39cm ou equivalente, padrão popular - fornecimento e instalação. Af_01/2020</t>
  </si>
  <si>
    <t xml:space="preserve"> 17.6 </t>
  </si>
  <si>
    <t xml:space="preserve"> 17.7 </t>
  </si>
  <si>
    <t xml:space="preserve"> 24030201-UFMA </t>
  </si>
  <si>
    <t>Reparo p/caixa de descarga acoplada, acionamento simples.</t>
  </si>
  <si>
    <t xml:space="preserve"> 17.8 </t>
  </si>
  <si>
    <t>Saboneteira plástica tipo dispenser para sabonete liquido com reservatório 800 a 1500 ml, incluso fixação. Af_01/2020</t>
  </si>
  <si>
    <t xml:space="preserve"> 17.9 </t>
  </si>
  <si>
    <t xml:space="preserve"> 37399UD-UFMA </t>
  </si>
  <si>
    <t>Cabide/gancho de banheiro simples em metal cromado, incluso fixação.</t>
  </si>
  <si>
    <t xml:space="preserve"> 17.10 </t>
  </si>
  <si>
    <t xml:space="preserve"> 37401UD-UFMA </t>
  </si>
  <si>
    <t>Toalheiro PVC tipo dispenser p/papel toalha interfolhado, incluso fixação.</t>
  </si>
  <si>
    <t xml:space="preserve"> 17.11 </t>
  </si>
  <si>
    <t>Registro de gaveta bruto, latão, roscável, 3/4", com acabamento e canopla cromados - fornecimento e instalação. Af_08/2021</t>
  </si>
  <si>
    <t xml:space="preserve"> 17.12 </t>
  </si>
  <si>
    <t>Registro de pressão bruto, latão, roscável, 1/2", com acabamento e canopla cromados - fornecimento e instalação. Af_08/2021</t>
  </si>
  <si>
    <t xml:space="preserve"> 17.13 </t>
  </si>
  <si>
    <t>Registro de gaveta bruto, latão, roscável, 2" - fornecimento e instalação. Af_08/2021</t>
  </si>
  <si>
    <t xml:space="preserve"> 17.14 </t>
  </si>
  <si>
    <t>Registro de gaveta bruto, latão, roscável, 2 1/2" - fornecimento e instalação. Af_08/2021</t>
  </si>
  <si>
    <t xml:space="preserve"> 17.15 </t>
  </si>
  <si>
    <t>Torneira cromada longa, de parede, 1/2" ou 3/4", para pia de cozinha, padrão médio - fornecimento e instalação. Af_12/2013</t>
  </si>
  <si>
    <t xml:space="preserve"> 17.16 </t>
  </si>
  <si>
    <t xml:space="preserve"> 17.17 </t>
  </si>
  <si>
    <t xml:space="preserve"> 17.18 </t>
  </si>
  <si>
    <t>Válvula em metal cromado 1.1/2 x 1.1/2 para tanque ou lavatório, com ou sem ladrão - fornecimento e instalação. Af_01/2020</t>
  </si>
  <si>
    <t xml:space="preserve"> 17.19 </t>
  </si>
  <si>
    <t xml:space="preserve"> 17.20 </t>
  </si>
  <si>
    <t>Barra de apoio reta, em aço inox polido, comprimento 80cm,  fixada na parede - fornecimento e instalação. Af_01/2020</t>
  </si>
  <si>
    <t xml:space="preserve"> 17.21 </t>
  </si>
  <si>
    <t xml:space="preserve"> 89985UD-UFMA </t>
  </si>
  <si>
    <t>Registro de pressão em latão, roscável, Ø 25mm (3/4)", c/acabamento e canopla cromados e chuveiro PVC, Fornecido e instalado em ramal de água, inclusive conexão.</t>
  </si>
  <si>
    <t xml:space="preserve"> 17.22 </t>
  </si>
  <si>
    <t xml:space="preserve"> 24010401-UFMA </t>
  </si>
  <si>
    <t>Pia de cozinha em aço inoxidável, (1,20x0,60)m, concretada.</t>
  </si>
  <si>
    <t xml:space="preserve"> 17.23 </t>
  </si>
  <si>
    <t xml:space="preserve"> 94213UDD-UFMA </t>
  </si>
  <si>
    <t>Pia de cozinha com duas em aço inoxidável, (2,00x0,60)m, concretada.</t>
  </si>
  <si>
    <t xml:space="preserve"> 17.24 </t>
  </si>
  <si>
    <t xml:space="preserve"> 17.25 </t>
  </si>
  <si>
    <t>Caixa sifonada pvc 150x150x50mm com grelha redonda branca -fornecimento e instalação</t>
  </si>
  <si>
    <t xml:space="preserve"> 17.26 </t>
  </si>
  <si>
    <t xml:space="preserve"> 89709.D-UFMA </t>
  </si>
  <si>
    <t>Ralo escamoteável PVC, (150 x 150 x 50) mm.</t>
  </si>
  <si>
    <t xml:space="preserve"> 17.27 </t>
  </si>
  <si>
    <t xml:space="preserve"> 89495U.D2-UFMA </t>
  </si>
  <si>
    <t>Ralo semiesféricio, PVC 100 mm, p/lajes e calhas.</t>
  </si>
  <si>
    <t xml:space="preserve"> 18 </t>
  </si>
  <si>
    <t xml:space="preserve"> 18.1 </t>
  </si>
  <si>
    <t>Tubo, PVC, soldável, DN 25mm, instalado em prumada de água - fornecimento e instalação. Af_06/2022</t>
  </si>
  <si>
    <t xml:space="preserve"> 18.2 </t>
  </si>
  <si>
    <t>Tubo, PVC, soldável, DN 40mm, instalado em prumada de água - fornecimento e instalação. Af_06/2022</t>
  </si>
  <si>
    <t xml:space="preserve"> 18.3 </t>
  </si>
  <si>
    <t>Tubo, PVC, soldável, DN 50mm, instalado em prumada de água - fornecimento e instalação. Af_06/2022</t>
  </si>
  <si>
    <t xml:space="preserve"> 18.4 </t>
  </si>
  <si>
    <t>Tê, PVC, soldável, DN 25mm, instalado em ramal ou sub-ramal de água - fornecimento e instalação. Af_06/2022</t>
  </si>
  <si>
    <t xml:space="preserve"> 18.5 </t>
  </si>
  <si>
    <t>Tê, PVC, soldável, DN 32mm, instalado em prumada de água - fornecimento e instalação. Af_06/2022</t>
  </si>
  <si>
    <t xml:space="preserve"> 18.6 </t>
  </si>
  <si>
    <t>Tê, PVC, soldável, DN 32mm, instalado em ramal de distribuição de água - fornecimento e instalação. Af_06/2022</t>
  </si>
  <si>
    <t xml:space="preserve"> 18.7 </t>
  </si>
  <si>
    <t>Tê, PVC, soldável, DN 50mm, instalado em prumada de água - fornecimento e instalação. Af_06/2022</t>
  </si>
  <si>
    <t xml:space="preserve"> 18.8 </t>
  </si>
  <si>
    <t>Tê, PVC, soldável, DN 50mm, instalado em ramal de distribuição de água - fornecimento e instalação. Af_06/2022</t>
  </si>
  <si>
    <t xml:space="preserve"> 18.9 </t>
  </si>
  <si>
    <t>Joelho 90 graus, PVC, soldável, DN 40mm, instalado em prumada de água - fornecimento e instalação. Af_06/2022</t>
  </si>
  <si>
    <t xml:space="preserve"> 18.10 </t>
  </si>
  <si>
    <t>Joelho 90 graus, PVC, soldável, DN 50mm, instalado em prumada de água - fornecimento e instalação. Af_06/2022</t>
  </si>
  <si>
    <t xml:space="preserve"> 18.11 </t>
  </si>
  <si>
    <t>Bucha de redução, curta, PCV, soldável, DN 60x50mm, instalado em prumada de água - fornecimento e instalação. Af_06/2022</t>
  </si>
  <si>
    <t xml:space="preserve"> 18.12 </t>
  </si>
  <si>
    <t>Bucha de redução, longa, PVC, soldável, DN 50x25mm, instalado em prumada de água - fornecimento e instalação. Af_06/2022</t>
  </si>
  <si>
    <t xml:space="preserve"> 18.13 </t>
  </si>
  <si>
    <t>Bucha de redução, curta, PVC, soldável, DN 25x20mm, instalado em ramal ou sub-ramal de água - fornecimento e instalação. Af_06/2022</t>
  </si>
  <si>
    <t xml:space="preserve"> 18.14 </t>
  </si>
  <si>
    <t>Adaptador curto com bolsa e rosca para registro, PVC, soldável, DN 25mmx3/4 , instalado em ramal ou sub-ramal de água - fornecimento e instalação. Af_06/2022</t>
  </si>
  <si>
    <t xml:space="preserve"> 18.15 </t>
  </si>
  <si>
    <t>Adaptador com flanges livres, PVC, soldável longo, DN  25mmx3/4 , instalado em reservação de água de edificação que possua reservatório de fibra/fibrocimento    fornecimento e instalação. Af_06/2016</t>
  </si>
  <si>
    <t xml:space="preserve"> 18.16 </t>
  </si>
  <si>
    <t xml:space="preserve"> 18.17 </t>
  </si>
  <si>
    <t>Registro de gaveta bruto, latão, roscável, 3" - fornecimento e instalação. Af_08/2021</t>
  </si>
  <si>
    <t xml:space="preserve"> 18.18 </t>
  </si>
  <si>
    <t xml:space="preserve"> 16040604-UFMA </t>
  </si>
  <si>
    <t>Caixa de inspeção/ passagem/ retentora, em alvenaria de bloco estrutural med. (80x80x80)cm, revestimento interno de cimento/areia 1:3 e aditivo impermeabilizante, lastro e tampa de concreto.</t>
  </si>
  <si>
    <t xml:space="preserve"> 18.19 </t>
  </si>
  <si>
    <t>Escavação manual de vala com profundidade menor ou igual a 1,30 m. Af_02/2021</t>
  </si>
  <si>
    <t xml:space="preserve"> 18.20 </t>
  </si>
  <si>
    <t>Reaterro manual apiloado com soquete. Af_10/2017</t>
  </si>
  <si>
    <t xml:space="preserve"> 19 </t>
  </si>
  <si>
    <t>Instalação Sanitária</t>
  </si>
  <si>
    <t xml:space="preserve"> 19.1 </t>
  </si>
  <si>
    <t>Tubo PVC, serie normal, esgoto predial, DN 40mm, fornecido e instalado em ramal de descarga ou ramal de esgoto sanitário. Af_12/2014</t>
  </si>
  <si>
    <t xml:space="preserve"> 19.2 </t>
  </si>
  <si>
    <t>Tubo PVC, serie normal, esgoto predial, DN 50mm, fornecido e instalado em ramal de descarga ou ramal de esgoto sanitário. Af_12/2014</t>
  </si>
  <si>
    <t xml:space="preserve"> 19.3 </t>
  </si>
  <si>
    <t>Tubo PVC, serie normal, esgoto predial, DN 75mm, fornecido e instalado em ramal de descarga ou ramal de esgoto sanitário. Af_12/2014</t>
  </si>
  <si>
    <t xml:space="preserve"> 19.4 </t>
  </si>
  <si>
    <t>Tubo PVC, serie normal, esgoto predial, DN 100mm, fornecido e instalado em ramal de descarga ou ramal de esgoto sanitário. Af_12/2014</t>
  </si>
  <si>
    <t xml:space="preserve"> 19.5 </t>
  </si>
  <si>
    <t>Joelho 90 graus, PVC, serie normal, esgoto predial, DN 40mm, junta soldável, fornecido e instalado em ramal de descarga ou ramal de esgoto sanitário. Af_12/2014</t>
  </si>
  <si>
    <t xml:space="preserve"> 19.6 </t>
  </si>
  <si>
    <t>Joelho 45 graus, PVC, serie normal, esgoto predial, DN 40mm, junta soldável, fornecido e instalado em ramal de descarga ou ramal de esgoto sanitário. Af_12/2014</t>
  </si>
  <si>
    <t xml:space="preserve"> 19.7 </t>
  </si>
  <si>
    <t>Joelho 45 graus, PVC, serie normal, esgoto predial, DN 50mm, junta elástica, fornecido e instalado em ramal de descarga ou ramal de esgoto sanitário. af_12/2014</t>
  </si>
  <si>
    <t xml:space="preserve"> 19.8 </t>
  </si>
  <si>
    <t>Joelho 45 graus, PVC, serie normal, esgoto predial, DN 75mm, junta elástica, fornecido e instalado em ramal de descarga ou ramal de esgoto sanitário. Af_12/2014</t>
  </si>
  <si>
    <t xml:space="preserve"> 19.9 </t>
  </si>
  <si>
    <t>Joelho 90 graus, PVC, serie normal, esgoto predial, DN 100mm, junta elástica, fornecido e instalado em ramal de descarga ou ramal de esgoto sanitário. Af_12/2014</t>
  </si>
  <si>
    <t xml:space="preserve"> 19.10 </t>
  </si>
  <si>
    <t>Joelho 45 graus, PVC, serie normal, esgoto predial, DN 100mm, junta elástica, fornecido e instalado em ramal de descarga ou ramal de esgoto sanitário. Af_12/2014</t>
  </si>
  <si>
    <t xml:space="preserve"> 19.11 </t>
  </si>
  <si>
    <t>Curva curta 90 graus, PVC, serie normal, esgoto predial, DN 100mm, junta elástica, fornecido e instalado em ramal de descarga ou ramal de esgoto sanitário. Af_12/2014</t>
  </si>
  <si>
    <t xml:space="preserve"> 19.12 </t>
  </si>
  <si>
    <t>Curva curta 90 graus, PVC, serie normal, esgoto predial, DN 75mm, junta elástica, fornecido e instalado em prumada de esgoto sanitário ou ventilação. Af_12/2014</t>
  </si>
  <si>
    <t xml:space="preserve"> 19.13 </t>
  </si>
  <si>
    <t>Curva curta 90 graus, PVC, serie normal, esgoto predial, DN 50mm, junta elástica, fornecido e instalado em ramal de descarga ou ramal de esgoto sanitário. Af_12/2014</t>
  </si>
  <si>
    <t xml:space="preserve"> 19.14 </t>
  </si>
  <si>
    <t>Tê, PVC, serie normal, esgoto predial, DN 100x100mm, junta elástica, fornecido e instalado em ramal de descarga ou ramal de esgoto sanitário. Af_12/2014</t>
  </si>
  <si>
    <t xml:space="preserve"> 19.15 </t>
  </si>
  <si>
    <t>Tê, PVC, serie normal, esgoto predial, DN 75 x 75 mm, junta elástica, fornecido e instalado em ramal de descarga ou ramal de esgoto sanitário. Af_12/2014</t>
  </si>
  <si>
    <t xml:space="preserve"> 19.16 </t>
  </si>
  <si>
    <t>Tê, PVC, serie normal, esgoto predial, DN 50 x 50 mm, junta elástica, fornecido e instalado em ramal de descarga ou ramal de esgoto sanitário. Af_12/2014</t>
  </si>
  <si>
    <t xml:space="preserve"> 19.17 </t>
  </si>
  <si>
    <t>Junção simples, PVC, serie normal, esgoto predial, DN 100 x 100 mm, junta elástica, fornecido e instalado em ramal de descarga ou ramal de esgoto sanitário. Af_12/2014</t>
  </si>
  <si>
    <t xml:space="preserve"> 19.18 </t>
  </si>
  <si>
    <t>Junção simples, PVC, serie normal, esgoto predial, DN 50 x 50 mm, junta elástica, fornecido e instalado em ramal de descarga ou ramal de esgoto sanitário. Af_12/2014</t>
  </si>
  <si>
    <t xml:space="preserve"> 19.19 </t>
  </si>
  <si>
    <t>Junção simples, PVC, serie r, água pluvial, DN 100 x 100 mm, junta elástica, fornecido e instalado em ramal de encaminhamento. Af_06/2022</t>
  </si>
  <si>
    <t xml:space="preserve"> 19.20 </t>
  </si>
  <si>
    <t>Luva de correr, PVC, serie normal, esgoto predial, DN 100 mm, junta elástica, fornecido e instalado em ramal de descarga ou ramal de esgoto sanitário. Af_12/2014</t>
  </si>
  <si>
    <t xml:space="preserve"> 19.21 </t>
  </si>
  <si>
    <t>Luva de correr, PVC, serie normal, esgoto predial, DN 75 mm, junta elástica, fornecido e instalado em ramal de descarga ou ramal de esgoto sanitário. Af_12/2014</t>
  </si>
  <si>
    <t xml:space="preserve"> 19.22 </t>
  </si>
  <si>
    <t>Luva de correr, PVC, serie normal, esgoto predial, DN 50 mm, junta elástica, fornecido e instalado em ramal de descarga ou ramal de esgoto sanitário. Af_12/2014</t>
  </si>
  <si>
    <t xml:space="preserve"> 19.23 </t>
  </si>
  <si>
    <t xml:space="preserve"> 19.24 </t>
  </si>
  <si>
    <t>Caixa sifonada, PVC, DN 150 x 185 x 75 mm, junta elástica, fornecida e instalada em ramal de descarga ou em ramal de esgoto sanitário. Af_12/2014</t>
  </si>
  <si>
    <t xml:space="preserve"> 19.25 </t>
  </si>
  <si>
    <t>Caixa sifonada, PVC, DN 100 x 100 x 50 mm, junta elástica, fornecida e instalada em ramal de descarga ou em ramal de esgoto sanitário. Af_12/2014</t>
  </si>
  <si>
    <t xml:space="preserve"> 19.26 </t>
  </si>
  <si>
    <t>(Composição representativa) do serviço de instalação de tubo de PVC, série normal, esgoto predial, DN 150 mm (instalado em sub-coletor aéreo), inclusive conexões, cortes e fixações, para prédios. Af_10/2015</t>
  </si>
  <si>
    <t xml:space="preserve"> 19.27 </t>
  </si>
  <si>
    <t>(Composição representativa) do serviço de inst. Tubo PVC, série n, esgoto predial, 100 mm (inst. Ramal descarga, ramal de esg. sanit., prumada esg. sanit., ventilação ou sub-coletor aéreo), incl. conexões e cortes, fixações, p/ prédios. Af_10/2015</t>
  </si>
  <si>
    <t xml:space="preserve"> 19.28 </t>
  </si>
  <si>
    <t xml:space="preserve"> 19.29 </t>
  </si>
  <si>
    <t xml:space="preserve"> 16040606-UFMA </t>
  </si>
  <si>
    <t>Caixa de inspeção/ passagem/ retentora, em alvenaria de bloco estrutural med. (100x100x120)cm, revestimento interno de cimento/areia 1:3 e aditivo impermeabilizante, lastro e tampa de concreto.</t>
  </si>
  <si>
    <t xml:space="preserve"> 19.30 </t>
  </si>
  <si>
    <t xml:space="preserve"> 19.31 </t>
  </si>
  <si>
    <t xml:space="preserve"> 20 </t>
  </si>
  <si>
    <t xml:space="preserve"> 20.1 </t>
  </si>
  <si>
    <t xml:space="preserve"> 74131/5.D7-UFMA </t>
  </si>
  <si>
    <t>Quadro de montagem de sobrepor (1000x600x250)mm, em chapa metálica, c/barramento trifásico e neutro, fornecimento e instalação.</t>
  </si>
  <si>
    <t xml:space="preserve"> 20.2 </t>
  </si>
  <si>
    <t>Quadro de distribuição de energia em chapa de aço galvanizado, para 42 disjuntores sem barramento, - fornecimento e instalação.</t>
  </si>
  <si>
    <t xml:space="preserve"> 20.3 </t>
  </si>
  <si>
    <t xml:space="preserve"> 101881UD-UFMA </t>
  </si>
  <si>
    <t>Quadro de distribuição de energia em chapa de aço galvanizado, de sobrepor, com barramento trifásico, para 42 disjuntores DIN 100A - fornecimento e instalação.</t>
  </si>
  <si>
    <t xml:space="preserve"> 20.4 </t>
  </si>
  <si>
    <t xml:space="preserve"> 20.5 </t>
  </si>
  <si>
    <t xml:space="preserve"> 20.6 </t>
  </si>
  <si>
    <t xml:space="preserve"> 20.7 </t>
  </si>
  <si>
    <t>Disjuntor tripolar tipo NEMA, corrente nominal de 60 até 100A - fornecimento e instalação. Af_10/2020</t>
  </si>
  <si>
    <t xml:space="preserve"> 20.8 </t>
  </si>
  <si>
    <t>Disjuntor termomagnético tripolar , corrente nominal de 125A - fornecimento e instalação. Af_10/2020</t>
  </si>
  <si>
    <t xml:space="preserve"> 20.9 </t>
  </si>
  <si>
    <t xml:space="preserve"> 13030404-UFMA </t>
  </si>
  <si>
    <t>Dispositivo de proteção de surto (DPS), corrente nominal 60KA, 275V.</t>
  </si>
  <si>
    <t xml:space="preserve"> 20.10 </t>
  </si>
  <si>
    <t xml:space="preserve"> 13030402-UFMA </t>
  </si>
  <si>
    <t>Dispositivo de proteção de surto (DPS), corrente nominal 40KA., 460v</t>
  </si>
  <si>
    <t xml:space="preserve"> 20.11 </t>
  </si>
  <si>
    <t>Cabo de cobre flexível isolado, 2,5mm², anti-chama 0,6/1,0 kv, para circuitos terminais - fornecimento e instalação. Af_12/2015</t>
  </si>
  <si>
    <t xml:space="preserve"> 20.12 </t>
  </si>
  <si>
    <t>Cabo de cobre flexível isolado, 4mm², anti-chama 0,6/1,0 kv, para circuitos terminais - fornecimento e instalação. Af_12/2015</t>
  </si>
  <si>
    <t xml:space="preserve"> 20.13 </t>
  </si>
  <si>
    <t>Cabo de cobre flexível isolado, 6mm², anti-chama 0,6/1,0 kv, para circuitos terminais - fornecimento e instalação. Af_12/2015</t>
  </si>
  <si>
    <t xml:space="preserve"> 20.14 </t>
  </si>
  <si>
    <t>Cabo de cobre isolado, 16 mm², anti-chama 0,6/1 kv, instalado em eletrocalha ou perfilado - fornecimento e instalação. Af_10/2020</t>
  </si>
  <si>
    <t xml:space="preserve"> 20.15 </t>
  </si>
  <si>
    <t>Terminal ou conector de pressão - para cabo 16mm² - fornecimento e instalação</t>
  </si>
  <si>
    <t xml:space="preserve"> 20.16 </t>
  </si>
  <si>
    <t>Eletroduto rígido roscável, PVC, DN 25mm (3/4"), para circuitos terminais, instalado em laje - fornecimento e instalação. Af_12/2015</t>
  </si>
  <si>
    <t xml:space="preserve"> 20.17 </t>
  </si>
  <si>
    <t>Eletroduto rígido roscável, PVC, DN 32 mm (1"), para circuitos terminais, instalado em laje - fornecimento e instalação. Af_12/2015</t>
  </si>
  <si>
    <t xml:space="preserve"> 20.18 </t>
  </si>
  <si>
    <t>Eletroduto rígido roscável, PVC, DN 32 mm (1"), para circuitos terminais, instalado em parede - fornecimento e instalação. Af_12/2015</t>
  </si>
  <si>
    <t xml:space="preserve"> 20.19 </t>
  </si>
  <si>
    <t>Luva para eletroduto, PVC, roscável, DN 25mm (3/4"), para circuitos terminais, instalada em laje - fornecimento e instalação. Af_12/2015</t>
  </si>
  <si>
    <t xml:space="preserve"> 20.20 </t>
  </si>
  <si>
    <t>Luva para eletroduto, PVC, roscável, DN 25mm (3/4"), para circuitos terminais, instalada em parede - fornecimento e instalação. Af_12/2015</t>
  </si>
  <si>
    <t xml:space="preserve"> 20.21 </t>
  </si>
  <si>
    <t>Luva para eletroduto, PVC, roscável, DN 32mm (1"), para circuitos terminais, instalada em laje - fornecimento e instalação. Af_12/2015</t>
  </si>
  <si>
    <t xml:space="preserve"> 20.22 </t>
  </si>
  <si>
    <t>Curva 90 graus para eletroduto, PVC, roscável, DN 25mm (3/4"), para circuitos terminais, instalada em laje - fornecimento e instalação. af_12/2015</t>
  </si>
  <si>
    <t xml:space="preserve"> 20.23 </t>
  </si>
  <si>
    <t>Curva 90 graus para eletroduto, PVC, roscável, DN 25mm (3/4"), para circuitos terminais, instalada em parede - fornecimento e instalação. Af_12/2015</t>
  </si>
  <si>
    <t xml:space="preserve"> 20.24 </t>
  </si>
  <si>
    <t>Curva 90 graus para eletroduto, PVC, roscável, DN 32 mm (1"), para circuitos terminais, instalada em laje - fornecimento e instalação. Af_12/2015</t>
  </si>
  <si>
    <t xml:space="preserve"> 20.25 </t>
  </si>
  <si>
    <t>Tomada alta de embutir (1 módulo), 2P+T10 a, incluindo suporte e placa - fornecimento e instalação. Af_12/2015</t>
  </si>
  <si>
    <t xml:space="preserve"> 20.26 </t>
  </si>
  <si>
    <t>Tomada baixa de embutir (2 módulos), 2p+T20 a, incluindo suporte e placa - fornecimento e instalação. Af_12/2015</t>
  </si>
  <si>
    <t xml:space="preserve"> 20.27 </t>
  </si>
  <si>
    <t>Interruptor simples (1 módulo), 10A/250V, incluindo suporte e placa - fornecimento e instalação. Af_12/2015</t>
  </si>
  <si>
    <t xml:space="preserve"> 20.28 </t>
  </si>
  <si>
    <t>Interruptor simples (2 módulos), 10A/250V, incluindo suporte e placa - fornecimento e instalação. Af_12/2015</t>
  </si>
  <si>
    <t xml:space="preserve"> 20.29 </t>
  </si>
  <si>
    <t xml:space="preserve"> 43098D-UFMA </t>
  </si>
  <si>
    <t>Caixa de passagem eletrica de parede, de sobrepor, em termoplastico / pvc, com tampa aparafusa, dimensoes 200 x 200 x *100* mm</t>
  </si>
  <si>
    <t xml:space="preserve"> 20.30 </t>
  </si>
  <si>
    <t xml:space="preserve"> 100902UD UFMA </t>
  </si>
  <si>
    <t>Recomposição de Lâmpada Bulbo LED 12W</t>
  </si>
  <si>
    <t xml:space="preserve"> 20.31 </t>
  </si>
  <si>
    <t xml:space="preserve"> 100902UDD UFMA </t>
  </si>
  <si>
    <t>Recomposição de Lâmpada Bulbo LED 18W</t>
  </si>
  <si>
    <t xml:space="preserve"> 20.32 </t>
  </si>
  <si>
    <t xml:space="preserve"> 100902UDDD UFMA </t>
  </si>
  <si>
    <t>Recomposição de Lâmpada Bulbo LED 40W</t>
  </si>
  <si>
    <t xml:space="preserve"> 20.33 </t>
  </si>
  <si>
    <t xml:space="preserve"> 100903UD UFMA </t>
  </si>
  <si>
    <t>Recomposição de Lâmpada Bulbo LED 75W</t>
  </si>
  <si>
    <t xml:space="preserve"> 20.34 </t>
  </si>
  <si>
    <t>Lâmpada tubular LED de 9/10W, base G13 - fornecimento e instalação. Af_02/2020</t>
  </si>
  <si>
    <t xml:space="preserve"> 20.35 </t>
  </si>
  <si>
    <t>Lâmpada tubular LED de 18/20W, base G13 - fornecimento e instalação. Af_02/2020</t>
  </si>
  <si>
    <t xml:space="preserve"> 20.36 </t>
  </si>
  <si>
    <t xml:space="preserve"> 20.37 </t>
  </si>
  <si>
    <t xml:space="preserve"> 20.38 </t>
  </si>
  <si>
    <t>Luminária tipo calha, de sobrepor, com 2 lâmpadas tubulares fluorescentes de 36W, com reator de partida rápida - fornecimento e instalação. Af_02/2020</t>
  </si>
  <si>
    <t xml:space="preserve"> 20.39 </t>
  </si>
  <si>
    <t>Luminária arandela tipo tartaruga, com grade, de sobrepor, com 1 lâmpada fluorescente de 15 W, sem reator - fornecimento e instalação. Af_02/2020</t>
  </si>
  <si>
    <t xml:space="preserve"> 20.40 </t>
  </si>
  <si>
    <t xml:space="preserve"> 13040602-UFMA </t>
  </si>
  <si>
    <t>Perfilado perfurado em chapa de aço galvanizado # 22, largura 38 mm x altura 38 mm, com tampa, instalação superior</t>
  </si>
  <si>
    <t xml:space="preserve"> 20.41 </t>
  </si>
  <si>
    <t xml:space="preserve"> 13040603-UFMA </t>
  </si>
  <si>
    <t>Eletrocalha perfurada em chapa de aço galvanizado tipo "U", sem tampa largura 100 mm x altura 50mm, instalação com suporte em mão francesa reforçada de 150mm, inclusive emenda a cada 3,00m.</t>
  </si>
  <si>
    <t xml:space="preserve"> 20.42 </t>
  </si>
  <si>
    <t xml:space="preserve"> 16.113.000668.SER-UFMA </t>
  </si>
  <si>
    <t>Eletrocalha perfurada em chapa de aço galvanizado # 22, tipo "U", com tampa largura 100 mm x altura 100 mm, instalação superior</t>
  </si>
  <si>
    <t xml:space="preserve"> 20.43 </t>
  </si>
  <si>
    <t xml:space="preserve"> 13080103-UFMA </t>
  </si>
  <si>
    <t>Refletor LED com lâmpada de 100 W</t>
  </si>
  <si>
    <t xml:space="preserve"> 20.44 </t>
  </si>
  <si>
    <t xml:space="preserve"> 20.45 </t>
  </si>
  <si>
    <t xml:space="preserve"> 97891.D1-UFMA </t>
  </si>
  <si>
    <t>Caixa enterrada elétrica, em alvenaria de blocos de concreto, fundo c/brita, med. (0,30x0,30x0,30) m, c/tampa de concreto.</t>
  </si>
  <si>
    <t xml:space="preserve"> 20.46 </t>
  </si>
  <si>
    <t xml:space="preserve"> 20.47 </t>
  </si>
  <si>
    <t xml:space="preserve"> 21 </t>
  </si>
  <si>
    <t xml:space="preserve"> 22 </t>
  </si>
  <si>
    <t xml:space="preserve"> 22.1 </t>
  </si>
  <si>
    <t>Captor tipo franklin para SPDA - fornecimento e instalação. Af_12/2017</t>
  </si>
  <si>
    <t xml:space="preserve"> 22.2 </t>
  </si>
  <si>
    <t>Mastro 1 ½  para SPDA - fornecimento e instalação. Af_12/2017</t>
  </si>
  <si>
    <t xml:space="preserve"> 22.3 </t>
  </si>
  <si>
    <t xml:space="preserve"> 96989D UFMA </t>
  </si>
  <si>
    <t>Abraçadeira fixação para cabo para-raio</t>
  </si>
  <si>
    <t xml:space="preserve"> 22.4 </t>
  </si>
  <si>
    <t xml:space="preserve"> 130402-UDUFMA 6 </t>
  </si>
  <si>
    <t>Vergalhão de cobre nu 3/8"x3m</t>
  </si>
  <si>
    <t xml:space="preserve"> 22.5 </t>
  </si>
  <si>
    <t xml:space="preserve"> 13040301UDD UFMA </t>
  </si>
  <si>
    <t>Substituição/ Recomposição de Clip galvanizado para cabo 3/8"</t>
  </si>
  <si>
    <t xml:space="preserve"> 22.6 </t>
  </si>
  <si>
    <t xml:space="preserve"> 1562 UDD UFMA </t>
  </si>
  <si>
    <t>Conexão para medição de aterramento</t>
  </si>
  <si>
    <t xml:space="preserve"> 22.7 </t>
  </si>
  <si>
    <t xml:space="preserve"> 15050106-UFMA </t>
  </si>
  <si>
    <t>Presilha para cabo de cobre nú 35mm².</t>
  </si>
  <si>
    <t xml:space="preserve"> 22.8 </t>
  </si>
  <si>
    <t xml:space="preserve"> 96973UD-UFMA </t>
  </si>
  <si>
    <t>Cordoalha de cobre nu 35 mm², não enterrada, com suporte e fixação.</t>
  </si>
  <si>
    <t xml:space="preserve"> 22.9 </t>
  </si>
  <si>
    <t xml:space="preserve"> 96977UD-UFMA </t>
  </si>
  <si>
    <t>Cordoalha de cobre nu 50 mm², enterrada, sem isolador - fornecimento e instalação, inclusive escavação.</t>
  </si>
  <si>
    <t xml:space="preserve"> 22.10 </t>
  </si>
  <si>
    <t>Haste de aterramento 5/8”  para SPDA - fornecimento e instalação. Af_12/2017</t>
  </si>
  <si>
    <t xml:space="preserve"> 22.11 </t>
  </si>
  <si>
    <t xml:space="preserve"> 15050103-UFMA </t>
  </si>
  <si>
    <t>Caixa de Equalização-BEP,  para 04 terminais.</t>
  </si>
  <si>
    <t xml:space="preserve"> 22.12 </t>
  </si>
  <si>
    <t>Caixa de gordura simples, circular, em concreto pré-moldado, diâmetro interno = 0,4m, altura interna = 0,4m. Af_12/2020</t>
  </si>
  <si>
    <t xml:space="preserve"> 22.13 </t>
  </si>
  <si>
    <t xml:space="preserve"> 96985UD UFMA </t>
  </si>
  <si>
    <t>Instalação/ Recomposição de Solda exotérmica</t>
  </si>
  <si>
    <t xml:space="preserve"> 22.14 </t>
  </si>
  <si>
    <t xml:space="preserve"> 22.15 </t>
  </si>
  <si>
    <t xml:space="preserve"> 23 </t>
  </si>
  <si>
    <t xml:space="preserve"> 23.1 </t>
  </si>
  <si>
    <t>Tubo PVC, série R, água pluvial, DN 100mm, fornecido e instalado em condutores verticais de águas pluviais. Af_06/2022</t>
  </si>
  <si>
    <t xml:space="preserve"> 23.2 </t>
  </si>
  <si>
    <t>Curva 87 graus e 30 minutos, PVC, serie r, água pluvial, DN 100mm, junta elástica, fornecido e instalado em ramal de encaminhamento. Af_06/2022</t>
  </si>
  <si>
    <t xml:space="preserve"> 23.3 </t>
  </si>
  <si>
    <t>Luva simples, PVC, serie r, água pluvial, DN 100mm, junta elástica, fornecido e instalado em ramal de encaminhamento. Af_06/2022</t>
  </si>
  <si>
    <t xml:space="preserve"> 23.4 </t>
  </si>
  <si>
    <t xml:space="preserve"> 96985UDD UFMA </t>
  </si>
  <si>
    <t>Substituição/ Recomposição de Abraçadeira metálica 4"</t>
  </si>
  <si>
    <t xml:space="preserve"> 23.5 </t>
  </si>
  <si>
    <t xml:space="preserve"> 96985UDDD UFMA </t>
  </si>
  <si>
    <t>Substituição/ Recomposição de Grelha hemisférica flexível 100mm</t>
  </si>
  <si>
    <t xml:space="preserve"> 23.6 </t>
  </si>
  <si>
    <t xml:space="preserve"> 23.7 </t>
  </si>
  <si>
    <t xml:space="preserve"> 23.8 </t>
  </si>
  <si>
    <t xml:space="preserve"> 23.9 </t>
  </si>
  <si>
    <t xml:space="preserve"> 94267UD-UFMA </t>
  </si>
  <si>
    <t xml:space="preserve"> 23.10 </t>
  </si>
  <si>
    <t>Execução de sarjeta de concreto usinado, moldada  in loco  em trecho curvo, 60cm base x 15 cm altura. Af_06/2016</t>
  </si>
  <si>
    <t xml:space="preserve"> 23.11 </t>
  </si>
  <si>
    <t>Reaterro manual de valas com compactação mecanizada. Af_04/2016</t>
  </si>
  <si>
    <t xml:space="preserve"> 23.12 </t>
  </si>
  <si>
    <t>Aterro mecanizado de vala com escavadeira hidráulica (capacidade da caçamba: 0,8 m³ / potência: 111 hp), largura até 1,5 m, profundidade de 1,5 a 3,0 m, com areia para aterro. Af_05/2016</t>
  </si>
  <si>
    <t xml:space="preserve"> 23.13 </t>
  </si>
  <si>
    <t>Dissipador de energia em pedra argamassada espessura 6cm incl materiais e colocação medido p/ volume de pedra argamassada</t>
  </si>
  <si>
    <t xml:space="preserve"> 23.14 </t>
  </si>
  <si>
    <t>Boca para bueiro simples tubular, diametro =0,60m, em concreto ciclopico, incluindo formas, escavação, reaterro e materiais, excluindo material reaterro jazida e transporte.</t>
  </si>
  <si>
    <t xml:space="preserve"> 24 </t>
  </si>
  <si>
    <t>Impermeabilização de superfície com manta asfáltica, uma camada, inclusive aplicação de primer asfáltico, e=3mm. Af_06/2018</t>
  </si>
  <si>
    <t>Argamassa traço 1:4 (em volume de cimento e areia média úmida) para contrapiso, preparo mecânico com betoneira 400L. Af_08/2019</t>
  </si>
  <si>
    <t xml:space="preserve"> 98681U.D1-UFMA </t>
  </si>
  <si>
    <t>Piso cimentado/proteção mecanica, c/argamassa de cimento e areia média (1:3) e aditivo impermeabilizante, preparo mecanico, acabamento rústico espes. 2,0cm.</t>
  </si>
  <si>
    <t>Tratamento de junta de dilatação, com tarugo de polietileno e selante PU, incluso preenchimento com espuma expansiva PU. Af_06/2018</t>
  </si>
  <si>
    <t xml:space="preserve"> 98547UDD UFMA </t>
  </si>
  <si>
    <t>Impermeabilização de superfície com manta plástica revestida de película de alumínio, incluso transporte vertical. Af_06/2018</t>
  </si>
  <si>
    <t xml:space="preserve"> 73762/20UD-UFMA </t>
  </si>
  <si>
    <t>Impermeabilizacao de superficie c/borracha liquida vulcanizada a frio, incluso tela de poliester.</t>
  </si>
  <si>
    <t xml:space="preserve"> 25 </t>
  </si>
  <si>
    <t xml:space="preserve"> 25.1 </t>
  </si>
  <si>
    <t>Diversos</t>
  </si>
  <si>
    <t>Execução de pavimento em piso intertravado, com bloco sextavado de 25 x 25 cm, espessura 10 cm. Af_12/2015</t>
  </si>
  <si>
    <t>Piso cimentado, traço 1:3 (cimento e areia), acabamento rústico, espessura 3,0 cm, preparo mecânico da argamassa. Af_09/2020</t>
  </si>
  <si>
    <t>Execução de passeio (calçada) ou piso de concreto com concreto moldado in loco, feito em obra, acabamento convencional, espessura 6 cm, armado. Af_07/2016</t>
  </si>
  <si>
    <t xml:space="preserve"> 26 </t>
  </si>
  <si>
    <t>Implantação, Serviços Complementares e Finais</t>
  </si>
  <si>
    <t xml:space="preserve"> 26.1 </t>
  </si>
  <si>
    <t>Implantação da Obra</t>
  </si>
  <si>
    <t xml:space="preserve"> 01010101-UFMA </t>
  </si>
  <si>
    <t>Taxa do CREA - ART de obras acima de 15.000,00</t>
  </si>
  <si>
    <t xml:space="preserve"> 01040106-UFMA </t>
  </si>
  <si>
    <t xml:space="preserve"> 26.2 </t>
  </si>
  <si>
    <t>Serviços Complementares</t>
  </si>
  <si>
    <t>Locação de andaime metálico tubular de encaixe, tipo de torre, com largura de 1 ate 1,5 m e altura de *1,00* m</t>
  </si>
  <si>
    <t>Locação de andaime metálico tipo fachadeiro, largura de 1,20 m, altura por peca de 2,0 m, incluindo sapatas e itens necessários a instalação</t>
  </si>
  <si>
    <t>Linha de vida</t>
  </si>
  <si>
    <t>Pintura imunizante para madeira utilizando óleo diesel queimado, duas demaos.</t>
  </si>
  <si>
    <t xml:space="preserve"> 26.3 </t>
  </si>
  <si>
    <t>Serviços Finais</t>
  </si>
  <si>
    <t xml:space="preserve"> 9537UD-UFMA </t>
  </si>
  <si>
    <t>Limpeza final da obra.</t>
  </si>
  <si>
    <t>Limpeza de superfície com jato de alta pressão. Af_04/2019</t>
  </si>
  <si>
    <t xml:space="preserve"> 29010106-UFMA </t>
  </si>
  <si>
    <t xml:space="preserve">26.3.3 </t>
  </si>
  <si>
    <t xml:space="preserve">26.3.2 </t>
  </si>
  <si>
    <t xml:space="preserve">26.3.1 </t>
  </si>
  <si>
    <t xml:space="preserve">26.2.6 </t>
  </si>
  <si>
    <t xml:space="preserve">26.2.5 </t>
  </si>
  <si>
    <t xml:space="preserve">26.2.1 </t>
  </si>
  <si>
    <t xml:space="preserve">26.2.2 </t>
  </si>
  <si>
    <t xml:space="preserve">26.2.3 </t>
  </si>
  <si>
    <t xml:space="preserve">26.2.4 </t>
  </si>
  <si>
    <t xml:space="preserve">84679UD-UFMA </t>
  </si>
  <si>
    <t xml:space="preserve">10527UD-UFMA </t>
  </si>
  <si>
    <t xml:space="preserve">20193UD-UFMA </t>
  </si>
  <si>
    <t xml:space="preserve">090401UDD UFMA </t>
  </si>
  <si>
    <t xml:space="preserve">93590. DD-UFMA </t>
  </si>
  <si>
    <t xml:space="preserve">93590.U D-UFMA </t>
  </si>
  <si>
    <t xml:space="preserve">26.1.1 </t>
  </si>
  <si>
    <t xml:space="preserve">26.1.2 </t>
  </si>
  <si>
    <t xml:space="preserve">25.1.1 </t>
  </si>
  <si>
    <t xml:space="preserve">25.1.2 </t>
  </si>
  <si>
    <t xml:space="preserve">25.1.3 </t>
  </si>
  <si>
    <t xml:space="preserve">24.1 </t>
  </si>
  <si>
    <t xml:space="preserve">24.2 </t>
  </si>
  <si>
    <t xml:space="preserve">24.3 </t>
  </si>
  <si>
    <t xml:space="preserve">24.4 </t>
  </si>
  <si>
    <t>MINISTÉRIO DA EDUCAÇÃO - MEC</t>
  </si>
  <si>
    <t>PODER EXECUTIVO</t>
  </si>
  <si>
    <t>UNIVERSIDADE FEDERAL DO MARANHÃO - UFMA</t>
  </si>
  <si>
    <t>SUPERINTENDENCIA DE INFRAESTRUTURA - SINFRA</t>
  </si>
  <si>
    <t>Elementos de Serralheria</t>
  </si>
  <si>
    <t>27.</t>
  </si>
  <si>
    <t>27.1</t>
  </si>
  <si>
    <t>Administração Local</t>
  </si>
  <si>
    <t xml:space="preserve">21.2 </t>
  </si>
  <si>
    <r>
      <t xml:space="preserve">COMPOSIÇÃO DO BDI   </t>
    </r>
    <r>
      <rPr>
        <b/>
        <sz val="11"/>
        <rFont val="Arial Narrow"/>
        <family val="2"/>
      </rPr>
      <t>NÃO DESONERADO</t>
    </r>
  </si>
  <si>
    <t>COMPOSIÇÃO DO BDI - SERVIÇOS</t>
  </si>
  <si>
    <t>DA - Despesas Administrativas</t>
  </si>
  <si>
    <t>A - Administração Central</t>
  </si>
  <si>
    <t>S - Seguro e Garantia</t>
  </si>
  <si>
    <t>R - Risco - R</t>
  </si>
  <si>
    <t>DF - Despesas Financeiras</t>
  </si>
  <si>
    <t>LB - Lucro Bruto</t>
  </si>
  <si>
    <t>T  - Tributos</t>
  </si>
  <si>
    <t xml:space="preserve">       PIS</t>
  </si>
  <si>
    <t xml:space="preserve">       COFINS</t>
  </si>
  <si>
    <t xml:space="preserve">       ISS</t>
  </si>
  <si>
    <t xml:space="preserve">      CPBR</t>
  </si>
  <si>
    <t>( 1+A+S+R+G ) x ( 1+DF ) x ( 1+LB )</t>
  </si>
  <si>
    <t xml:space="preserve">BDI = </t>
  </si>
  <si>
    <t>-------------------------------------------------     - 1</t>
  </si>
  <si>
    <t xml:space="preserve">                    ( 1 - T )</t>
  </si>
  <si>
    <t>COMPOSIÇÃO DO BDI - EQUIPAMENTOS</t>
  </si>
  <si>
    <t>R - Risco</t>
  </si>
  <si>
    <t xml:space="preserve">                          ( 1 - T )</t>
  </si>
  <si>
    <t>BDI calculado de acordo com a Lei 13161/2015 e Acordão 2622/2013-TCU-Plenário</t>
  </si>
  <si>
    <r>
      <t xml:space="preserve">COMPOSIÇÃO DO BDI  </t>
    </r>
    <r>
      <rPr>
        <b/>
        <sz val="11"/>
        <rFont val="Arial Narrow"/>
        <family val="2"/>
      </rPr>
      <t>DESONERADO</t>
    </r>
  </si>
  <si>
    <t>ACORDÃO 2622/2013 - TCU - PLENÁRIO</t>
  </si>
  <si>
    <t>CONSTRUÇÃO DE EDIFÍCIOS</t>
  </si>
  <si>
    <t>1°Quatril</t>
  </si>
  <si>
    <t>Médio</t>
  </si>
  <si>
    <t>3°Quatril</t>
  </si>
  <si>
    <t>Administração Central</t>
  </si>
  <si>
    <t>Seguro e Garantia</t>
  </si>
  <si>
    <t>Risco</t>
  </si>
  <si>
    <t>Despesas Financeiras</t>
  </si>
  <si>
    <t>Lucro Bruto</t>
  </si>
  <si>
    <t>Acordão 2622/2013 - TCU - Plenário</t>
  </si>
  <si>
    <t>MATERIAIS E EQUIPAMENTOS</t>
  </si>
  <si>
    <t>DIVISÃO DE MANUTENÇÃO - DIMAN</t>
  </si>
  <si>
    <t>Poder Executivo</t>
  </si>
  <si>
    <t>Ministério da Educação</t>
  </si>
  <si>
    <t>DECLARAÇÃO DE ELABORAÇÃO DA PLANILHA ORÇAMENTÁRIAS ESTIMATIVA</t>
  </si>
  <si>
    <t>Mês Referencial:</t>
  </si>
  <si>
    <t>Universidade Federal do Maranhão</t>
  </si>
  <si>
    <t>Superintendencia de Infraestrutura - SINFRA</t>
  </si>
  <si>
    <t>Divisão de Manutenção - DIMAN</t>
  </si>
  <si>
    <t xml:space="preserve"> 85331 SINAPI</t>
  </si>
  <si>
    <t xml:space="preserve"> 98529 SINAPI</t>
  </si>
  <si>
    <t xml:space="preserve"> 98530 SINAPI</t>
  </si>
  <si>
    <t xml:space="preserve"> 98531 SINAPI</t>
  </si>
  <si>
    <t xml:space="preserve"> 72898 SINAPI</t>
  </si>
  <si>
    <t xml:space="preserve"> 97914 SINAPI</t>
  </si>
  <si>
    <t xml:space="preserve"> 94319 SINAPI</t>
  </si>
  <si>
    <t xml:space="preserve"> 97622 SINAPI</t>
  </si>
  <si>
    <t xml:space="preserve"> 97625 SINAPI</t>
  </si>
  <si>
    <t xml:space="preserve"> 97631 SINAPI</t>
  </si>
  <si>
    <t xml:space="preserve"> 97634 SINAPI</t>
  </si>
  <si>
    <t xml:space="preserve"> 97635 SINAPI</t>
  </si>
  <si>
    <t xml:space="preserve"> 97647 SINAPI</t>
  </si>
  <si>
    <t xml:space="preserve"> 97650 SINAPI</t>
  </si>
  <si>
    <t xml:space="preserve"> 97644 SINAPI</t>
  </si>
  <si>
    <t xml:space="preserve"> 97660 SINAPI</t>
  </si>
  <si>
    <t xml:space="preserve"> 97665 SINAPI</t>
  </si>
  <si>
    <t xml:space="preserve"> 97662 SINAPI</t>
  </si>
  <si>
    <t xml:space="preserve"> 97663 SINAPI</t>
  </si>
  <si>
    <t xml:space="preserve"> 97664 SINAPI</t>
  </si>
  <si>
    <t xml:space="preserve"> 97666 SINAPI</t>
  </si>
  <si>
    <t xml:space="preserve"> 97640 SINAPI</t>
  </si>
  <si>
    <t xml:space="preserve"> 97641 SINAPI</t>
  </si>
  <si>
    <t xml:space="preserve"> 94970 SINAPI</t>
  </si>
  <si>
    <t>74157/004 SINAPI</t>
  </si>
  <si>
    <t xml:space="preserve"> 92430 SINAPI</t>
  </si>
  <si>
    <t xml:space="preserve"> 92760 SINAPI</t>
  </si>
  <si>
    <t xml:space="preserve"> 92761 SINAPI</t>
  </si>
  <si>
    <t xml:space="preserve"> 92763 SINAPI</t>
  </si>
  <si>
    <t xml:space="preserve"> 94971 SINAPI</t>
  </si>
  <si>
    <t xml:space="preserve"> 92873 SINAPI</t>
  </si>
  <si>
    <t xml:space="preserve"> 92468 SINAPI</t>
  </si>
  <si>
    <t xml:space="preserve"> 92762 SINAPI</t>
  </si>
  <si>
    <t xml:space="preserve"> 73301 SINAPI</t>
  </si>
  <si>
    <t xml:space="preserve"> 92769 SINAPI</t>
  </si>
  <si>
    <t xml:space="preserve"> 92770 SINAPI</t>
  </si>
  <si>
    <t xml:space="preserve"> 92768 SINAPI</t>
  </si>
  <si>
    <t xml:space="preserve"> 100766 SINAPI</t>
  </si>
  <si>
    <t xml:space="preserve"> 100763 SINAPI</t>
  </si>
  <si>
    <t xml:space="preserve"> 100770 SINAPI</t>
  </si>
  <si>
    <t xml:space="preserve"> 72079 SINAPI</t>
  </si>
  <si>
    <t xml:space="preserve"> 89168 SINAPI</t>
  </si>
  <si>
    <t xml:space="preserve"> 103318 SINAPI</t>
  </si>
  <si>
    <t xml:space="preserve"> 93184 SINAPI</t>
  </si>
  <si>
    <t xml:space="preserve"> 96359 SINAPI</t>
  </si>
  <si>
    <t xml:space="preserve"> 101161 SINAPI</t>
  </si>
  <si>
    <t xml:space="preserve"> 101189 SINAPI</t>
  </si>
  <si>
    <t xml:space="preserve"> 94559 SINAPI</t>
  </si>
  <si>
    <t xml:space="preserve"> 73933/004 SINAPI</t>
  </si>
  <si>
    <t xml:space="preserve"> 91306 SINAPI</t>
  </si>
  <si>
    <t xml:space="preserve"> 90830 SINAPI</t>
  </si>
  <si>
    <t xml:space="preserve"> 74046/002 SINAPI</t>
  </si>
  <si>
    <t xml:space="preserve"> 84889 SINAPI</t>
  </si>
  <si>
    <t xml:space="preserve"> 84885 SINAPI</t>
  </si>
  <si>
    <t xml:space="preserve"> 84886 SINAPI</t>
  </si>
  <si>
    <t xml:space="preserve"> 102162 SINAPI</t>
  </si>
  <si>
    <t xml:space="preserve"> 102164 SINAPI</t>
  </si>
  <si>
    <t xml:space="preserve"> 102152 SINAPI</t>
  </si>
  <si>
    <t xml:space="preserve"> 74125/002 SINAPI</t>
  </si>
  <si>
    <t xml:space="preserve"> 94210 SINAPI</t>
  </si>
  <si>
    <t xml:space="preserve"> 94451 SINAPI</t>
  </si>
  <si>
    <t xml:space="preserve"> 94219 SINAPI</t>
  </si>
  <si>
    <t xml:space="preserve"> 100327 SINAPI</t>
  </si>
  <si>
    <t xml:space="preserve"> 100435 SINAPI</t>
  </si>
  <si>
    <t xml:space="preserve"> 94226 SINAPI</t>
  </si>
  <si>
    <t xml:space="preserve"> 94229 SINAPI</t>
  </si>
  <si>
    <t xml:space="preserve"> 87879 SINAPI</t>
  </si>
  <si>
    <t xml:space="preserve"> 87908 SINAPI</t>
  </si>
  <si>
    <t xml:space="preserve"> 89173 SINAPI</t>
  </si>
  <si>
    <t xml:space="preserve"> 87775 SINAPI</t>
  </si>
  <si>
    <t xml:space="preserve"> 87267 SINAPI</t>
  </si>
  <si>
    <t xml:space="preserve"> 96486 SINAPI</t>
  </si>
  <si>
    <t xml:space="preserve"> 88411 SINAPI</t>
  </si>
  <si>
    <t xml:space="preserve"> 88495 SINAPI</t>
  </si>
  <si>
    <t xml:space="preserve"> 88489 SINAPI</t>
  </si>
  <si>
    <t xml:space="preserve"> 88490 SINAPI</t>
  </si>
  <si>
    <t xml:space="preserve"> 6082 SINAPI</t>
  </si>
  <si>
    <t xml:space="preserve"> 100722 SINAPI</t>
  </si>
  <si>
    <t xml:space="preserve"> 100758 SINAPI</t>
  </si>
  <si>
    <t xml:space="preserve"> 102219 SINAPI</t>
  </si>
  <si>
    <t xml:space="preserve"> 102498 SINAPI</t>
  </si>
  <si>
    <t xml:space="preserve"> 41595 SINAPI</t>
  </si>
  <si>
    <t xml:space="preserve"> 72947 SINAPI</t>
  </si>
  <si>
    <t xml:space="preserve"> 102501 SINAPI</t>
  </si>
  <si>
    <t xml:space="preserve"> 83534 SINAPI</t>
  </si>
  <si>
    <t xml:space="preserve"> 87620 SINAPI</t>
  </si>
  <si>
    <t xml:space="preserve"> 103913 SINAPI</t>
  </si>
  <si>
    <t xml:space="preserve"> 89171 SINAPI</t>
  </si>
  <si>
    <t xml:space="preserve"> 88649 SINAPI</t>
  </si>
  <si>
    <t xml:space="preserve"> 101727 SINAPI</t>
  </si>
  <si>
    <t xml:space="preserve"> 79627 SINAPI</t>
  </si>
  <si>
    <t xml:space="preserve"> 98689 SINAPI</t>
  </si>
  <si>
    <t xml:space="preserve"> 100861 SINAPI</t>
  </si>
  <si>
    <t xml:space="preserve"> 95471 SINAPI</t>
  </si>
  <si>
    <t xml:space="preserve"> 86931 SINAPI</t>
  </si>
  <si>
    <t xml:space="preserve"> 100849 SINAPI</t>
  </si>
  <si>
    <t xml:space="preserve"> 86904 SINAPI</t>
  </si>
  <si>
    <t xml:space="preserve"> 100858 SINAPI</t>
  </si>
  <si>
    <t xml:space="preserve"> 95547 SINAPI</t>
  </si>
  <si>
    <t xml:space="preserve"> 89987 SINAPI</t>
  </si>
  <si>
    <t xml:space="preserve"> 89984 SINAPI</t>
  </si>
  <si>
    <t xml:space="preserve"> 94498 SINAPI</t>
  </si>
  <si>
    <t xml:space="preserve"> 94499 SINAPI</t>
  </si>
  <si>
    <t xml:space="preserve"> 86912 SINAPI</t>
  </si>
  <si>
    <t xml:space="preserve"> 86914 SINAPI</t>
  </si>
  <si>
    <t xml:space="preserve"> 86877 SINAPI</t>
  </si>
  <si>
    <t xml:space="preserve"> 86882 SINAPI</t>
  </si>
  <si>
    <t xml:space="preserve"> 100868 SINAPI</t>
  </si>
  <si>
    <t xml:space="preserve"> 86872 SINAPI</t>
  </si>
  <si>
    <t xml:space="preserve"> 40777 SINAPI</t>
  </si>
  <si>
    <t xml:space="preserve"> 89446 SINAPI</t>
  </si>
  <si>
    <t xml:space="preserve"> 89448 SINAPI</t>
  </si>
  <si>
    <t xml:space="preserve"> 89449 SINAPI</t>
  </si>
  <si>
    <t xml:space="preserve"> 89395 SINAPI</t>
  </si>
  <si>
    <t xml:space="preserve"> 89620 SINAPI</t>
  </si>
  <si>
    <t xml:space="preserve"> 89443 SINAPI</t>
  </si>
  <si>
    <t xml:space="preserve"> 89625 SINAPI</t>
  </si>
  <si>
    <t xml:space="preserve"> 104004 SINAPI</t>
  </si>
  <si>
    <t xml:space="preserve"> 89497 SINAPI</t>
  </si>
  <si>
    <t xml:space="preserve"> 89501 SINAPI</t>
  </si>
  <si>
    <t xml:space="preserve"> 103959 SINAPI</t>
  </si>
  <si>
    <t xml:space="preserve"> 103966 SINAPI</t>
  </si>
  <si>
    <t xml:space="preserve"> 103947 SINAPI</t>
  </si>
  <si>
    <t xml:space="preserve"> 89383 SINAPI</t>
  </si>
  <si>
    <t xml:space="preserve"> 95141 SINAPI</t>
  </si>
  <si>
    <t xml:space="preserve"> 89801 SINAPI</t>
  </si>
  <si>
    <t xml:space="preserve"> 94500 SINAPI</t>
  </si>
  <si>
    <t xml:space="preserve"> 93358 SINAPI</t>
  </si>
  <si>
    <t xml:space="preserve"> 96995 SINAPI</t>
  </si>
  <si>
    <t xml:space="preserve"> 89711 SINAPI</t>
  </si>
  <si>
    <t xml:space="preserve"> 89712 SINAPI</t>
  </si>
  <si>
    <t xml:space="preserve"> 89713 SINAPI</t>
  </si>
  <si>
    <t xml:space="preserve"> 89714 SINAPI</t>
  </si>
  <si>
    <t xml:space="preserve"> 89724 SINAPI</t>
  </si>
  <si>
    <t xml:space="preserve"> 89726 SINAPI</t>
  </si>
  <si>
    <t xml:space="preserve"> 89732 SINAPI</t>
  </si>
  <si>
    <t xml:space="preserve"> 89739 SINAPI</t>
  </si>
  <si>
    <t xml:space="preserve"> 89744 SINAPI</t>
  </si>
  <si>
    <t xml:space="preserve"> 89746 SINAPI</t>
  </si>
  <si>
    <t xml:space="preserve"> 89748 SINAPI</t>
  </si>
  <si>
    <t xml:space="preserve"> 89807 SINAPI</t>
  </si>
  <si>
    <t xml:space="preserve"> 89733 SINAPI</t>
  </si>
  <si>
    <t xml:space="preserve"> 89796 SINAPI</t>
  </si>
  <si>
    <t xml:space="preserve"> 89786 SINAPI</t>
  </si>
  <si>
    <t xml:space="preserve"> 89784 SINAPI</t>
  </si>
  <si>
    <t xml:space="preserve"> 89797 SINAPI</t>
  </si>
  <si>
    <t xml:space="preserve"> 89785 SINAPI</t>
  </si>
  <si>
    <t xml:space="preserve"> 89567 SINAPI</t>
  </si>
  <si>
    <t xml:space="preserve"> 89779 SINAPI</t>
  </si>
  <si>
    <t xml:space="preserve"> 89776 SINAPI</t>
  </si>
  <si>
    <t xml:space="preserve"> 89754 SINAPI</t>
  </si>
  <si>
    <t xml:space="preserve"> 97468 SINAPI</t>
  </si>
  <si>
    <t xml:space="preserve"> 89708 SINAPI</t>
  </si>
  <si>
    <t xml:space="preserve"> 89707 SINAPI</t>
  </si>
  <si>
    <t xml:space="preserve"> 91796 SINAPI</t>
  </si>
  <si>
    <t xml:space="preserve"> 91795 SINAPI</t>
  </si>
  <si>
    <t xml:space="preserve"> 101881UD.1 UFMA</t>
  </si>
  <si>
    <t xml:space="preserve"> 93656 SINAPI</t>
  </si>
  <si>
    <t xml:space="preserve"> 93663 SINAPI</t>
  </si>
  <si>
    <t xml:space="preserve"> 93670 SINAPI</t>
  </si>
  <si>
    <t xml:space="preserve"> 101894 SINAPI</t>
  </si>
  <si>
    <t xml:space="preserve"> 101895 SINAPI</t>
  </si>
  <si>
    <t xml:space="preserve"> 91927 SINAPI</t>
  </si>
  <si>
    <t xml:space="preserve"> 91929 SINAPI</t>
  </si>
  <si>
    <t xml:space="preserve"> 91931 SINAPI</t>
  </si>
  <si>
    <t xml:space="preserve"> 101887 SINAPI</t>
  </si>
  <si>
    <t xml:space="preserve"> 72260 SINAPI</t>
  </si>
  <si>
    <t xml:space="preserve"> 91867 SINAPI</t>
  </si>
  <si>
    <t xml:space="preserve"> 91868 SINAPI</t>
  </si>
  <si>
    <t xml:space="preserve"> 91872 SINAPI</t>
  </si>
  <si>
    <t xml:space="preserve"> 91879 SINAPI</t>
  </si>
  <si>
    <t xml:space="preserve"> 91884 SINAPI</t>
  </si>
  <si>
    <t xml:space="preserve"> 91880 SINAPI</t>
  </si>
  <si>
    <t xml:space="preserve"> 91902 SINAPI</t>
  </si>
  <si>
    <t xml:space="preserve"> 91914 SINAPI</t>
  </si>
  <si>
    <t xml:space="preserve"> 91905 SINAPI</t>
  </si>
  <si>
    <t xml:space="preserve"> 91992 SINAPI</t>
  </si>
  <si>
    <t xml:space="preserve"> 92009 SINAPI</t>
  </si>
  <si>
    <t xml:space="preserve"> 91953 SINAPI</t>
  </si>
  <si>
    <t xml:space="preserve"> 91959 SINAPI</t>
  </si>
  <si>
    <t xml:space="preserve"> 100902 SINAPI</t>
  </si>
  <si>
    <t xml:space="preserve"> 100903 SINAPI</t>
  </si>
  <si>
    <t xml:space="preserve"> 97616 SINAPI</t>
  </si>
  <si>
    <t xml:space="preserve"> 97617 SINAPI</t>
  </si>
  <si>
    <t xml:space="preserve"> 97586 SINAPI</t>
  </si>
  <si>
    <t xml:space="preserve"> 97608 SINAPI</t>
  </si>
  <si>
    <t>93358 SINAPI</t>
  </si>
  <si>
    <t xml:space="preserve"> 96989 SINAPI</t>
  </si>
  <si>
    <t xml:space="preserve"> 96988 SINAPI</t>
  </si>
  <si>
    <t xml:space="preserve"> 96985 SINAPI</t>
  </si>
  <si>
    <t xml:space="preserve"> 98102 SINAPI</t>
  </si>
  <si>
    <t xml:space="preserve"> 89578 SINAPI</t>
  </si>
  <si>
    <t xml:space="preserve"> 89535 SINAPI</t>
  </si>
  <si>
    <t xml:space="preserve"> 89554 SINAPI</t>
  </si>
  <si>
    <t xml:space="preserve"> 94286 SINAPI</t>
  </si>
  <si>
    <t xml:space="preserve"> 93382 SINAPI</t>
  </si>
  <si>
    <t xml:space="preserve"> 94328 SINAPI</t>
  </si>
  <si>
    <t xml:space="preserve"> 83690 SINAPI</t>
  </si>
  <si>
    <t xml:space="preserve"> 73856/002 SINAPI</t>
  </si>
  <si>
    <t xml:space="preserve"> 98546 SINAPI</t>
  </si>
  <si>
    <t xml:space="preserve"> 87301 SINAPI</t>
  </si>
  <si>
    <t xml:space="preserve"> 98575 SINAPI</t>
  </si>
  <si>
    <t xml:space="preserve"> 92395 SINAPI</t>
  </si>
  <si>
    <t xml:space="preserve"> 98682 SINAPI</t>
  </si>
  <si>
    <t xml:space="preserve"> 94992 SINAPI</t>
  </si>
  <si>
    <t xml:space="preserve"> 99814 SINAPI</t>
  </si>
  <si>
    <t>UFMA</t>
  </si>
  <si>
    <t>ITEM</t>
  </si>
  <si>
    <t>UND</t>
  </si>
  <si>
    <t>QUANT.</t>
  </si>
  <si>
    <t>SUPERINTENDÊNCIA DE INFRAESTRUTURA - SINFRA</t>
  </si>
  <si>
    <t>CÓDIGO</t>
  </si>
  <si>
    <t>DESCRIÇÃO</t>
  </si>
  <si>
    <t xml:space="preserve"> 7.3</t>
  </si>
  <si>
    <t xml:space="preserve"> 7.3.1 </t>
  </si>
  <si>
    <t xml:space="preserve"> 7.3.2</t>
  </si>
  <si>
    <t xml:space="preserve"> 7.3.3</t>
  </si>
  <si>
    <t xml:space="preserve"> 7.3.4</t>
  </si>
  <si>
    <t xml:space="preserve"> 7.3.5</t>
  </si>
  <si>
    <t xml:space="preserve"> 7.3.6</t>
  </si>
  <si>
    <t xml:space="preserve"> 7.3.7</t>
  </si>
  <si>
    <t xml:space="preserve"> 7.3.8</t>
  </si>
  <si>
    <t xml:space="preserve"> 7.4</t>
  </si>
  <si>
    <t xml:space="preserve"> 7.4.2</t>
  </si>
  <si>
    <t xml:space="preserve"> 7.5.2</t>
  </si>
  <si>
    <t xml:space="preserve"> 7.5.3</t>
  </si>
  <si>
    <t xml:space="preserve"> 7.6</t>
  </si>
  <si>
    <t xml:space="preserve"> 7.6.2</t>
  </si>
  <si>
    <t xml:space="preserve"> 7.7</t>
  </si>
  <si>
    <t xml:space="preserve"> 7.7.2</t>
  </si>
  <si>
    <t>Instalação Hidráulica</t>
  </si>
  <si>
    <t>Instalação Elétrica</t>
  </si>
  <si>
    <t>Urbanização e Paisagismo</t>
  </si>
  <si>
    <t>Impermeabilizção</t>
  </si>
  <si>
    <t>m³xkm</t>
  </si>
  <si>
    <t>Instalação de Telecomunicação</t>
  </si>
  <si>
    <t>Instalação Prot. contra Descargas Atmosférica-SPDA</t>
  </si>
  <si>
    <t>Instalações de Águas Pluviais/ Drenagem</t>
  </si>
  <si>
    <t>Joelho 90 graus, PVC, serie normal, esgoto predial, DN 50mm, junta elástica, fornecido e instalado em prumada de esgoto sanitário ou ventilação. Af_08/2022</t>
  </si>
  <si>
    <t>Recuperação/ Reforço estrutural em Pilares de Concreto Armado</t>
  </si>
  <si>
    <t>Recuperação/ Reforço estrutural em Vigas de Concreto Armado</t>
  </si>
  <si>
    <t>Recuperação/ Reforço estrutural em Lajes e Rampas de Concreto Armado</t>
  </si>
  <si>
    <t>Recuperação/ reforço estrutural de Escadas em Concreto Armado</t>
  </si>
  <si>
    <t xml:space="preserve"> 100874 SINAPI</t>
  </si>
  <si>
    <t>PLANILHA SINTÉTICA ORÇAMENTÁRIA ESTIMATIVA</t>
  </si>
  <si>
    <t>Diretoria de Planejamento e Controle - DIPEC</t>
  </si>
  <si>
    <t xml:space="preserve"> 4.2.6</t>
  </si>
  <si>
    <t xml:space="preserve"> 12.4</t>
  </si>
  <si>
    <t xml:space="preserve">13.1.10 </t>
  </si>
  <si>
    <t>25.1.10</t>
  </si>
  <si>
    <t>Declaro para os devidos fins, que os quantitativos constantes na planilha sintética orçamentária estimativa estão compatíveis com as áreas, equipamentos e elementos construtivos das edificações construidas do campus acima referenciada e que os custos unitários de insumos e os serviços são iguais e/ou menores, que a mediana de seus correspondentes no Sistema Nacional de Pesquisa de Custos e Índices da Construção Civil (SINAPI).</t>
  </si>
  <si>
    <r>
      <t xml:space="preserve">No caso de inviabilidade da definição dos custos </t>
    </r>
    <r>
      <rPr>
        <b/>
        <sz val="11"/>
        <rFont val="Courier New"/>
        <family val="3"/>
      </rPr>
      <t>SINAPI e/</t>
    </r>
    <r>
      <rPr>
        <sz val="11"/>
        <rFont val="Courier New"/>
        <family val="3"/>
      </rPr>
      <t>ou</t>
    </r>
    <r>
      <rPr>
        <b/>
        <sz val="11"/>
        <rFont val="Courier New"/>
        <family val="3"/>
      </rPr>
      <t xml:space="preserve"> SICRO</t>
    </r>
    <r>
      <rPr>
        <sz val="11"/>
        <rFont val="Courier New"/>
        <family val="3"/>
      </rPr>
      <t>, foram utilizados valores contidos em tabela de referencia formalmente aprovada por orgão ou entidade da administração pública como fonte referencial de preços, e realizados a cotação de preços em mercado local, para elaboração de composição de custos unitários de serviços.</t>
    </r>
  </si>
  <si>
    <t>3.1.1</t>
  </si>
  <si>
    <t>3.1.2</t>
  </si>
  <si>
    <t>Guarda corpo em tubo galvanizado, formado por contraventamento horizontal superior e montantes verticais a cada 1,00m, ambos com Ø 2”, chumbado em bloco de concreto; contraventamentos horizontais intermediários e inferior com Ø 1.1/4”; corrimão duplo com Ø 1.1/2” com alturas de 70cm e 92cm e com afastamento de 4cm(face externa); e acabamento em pintura esmalte acetinado em duas demão e uma demão de prime;</t>
  </si>
  <si>
    <t>Guia (meio-fio) e sarjeta conjugados de concreto, moldada  in loco  em trecho reto com extrusora, 45 cm base (15 cm base da guia + 30 cm base da sarjeta) x 22 cm altura;  inclusive lastro de concreto esp. 5,00cm e escora bola.</t>
  </si>
  <si>
    <t>Guarda corpo em tubo galvanizado, formado por contraventamento horizontal superior e montantes verticais a cada 1,00m, ambos com Ø 2”, chumbado em bloco de concreto; contraventamentos horizontais intermediários e inferior com Ø 1.1/4”; corrimão duplo com Ø 1.1/2” com alturas de 70cm e 92cm e com afastamento de 4cm(face externa); e acabamento em pintura esmalte acetinado em duas demão e uma demão de prime.</t>
  </si>
  <si>
    <t>TOTAL S/BDI</t>
  </si>
  <si>
    <t xml:space="preserve">BDI:       </t>
  </si>
  <si>
    <t xml:space="preserve">Transporte com caminhão basculante de 6 m³, em via urbana pavimentada, dmt até 30 km (unidade: m3xkm). </t>
  </si>
  <si>
    <t xml:space="preserve">Demolição de alvenaria para qualquer tipo de bloco, de forma mecanizada, sem reaproveitamento. </t>
  </si>
  <si>
    <t xml:space="preserve">Demolição de revestimento cerâmico, de forma mecanizada com martelete, sem reaproveitamento. </t>
  </si>
  <si>
    <t xml:space="preserve">Remoção de telhas, de fibrocimento, metálica e cerâmica, de forma manual, sem reaproveitamento. </t>
  </si>
  <si>
    <t xml:space="preserve">Remoção de trama de madeira para cobertura, de forma manual, sem reaproveitamento. </t>
  </si>
  <si>
    <t xml:space="preserve">Remoção de interruptores/tomadas elétricas, de forma manual, sem reaproveitamento. </t>
  </si>
  <si>
    <t xml:space="preserve">Remoção de tubulações (tubos e conexões) de água fria, de forma manual, sem reaproveitamento. </t>
  </si>
  <si>
    <t xml:space="preserve">Remoção de forros de drywall, pvc e fibromineral, de forma manual, sem reaproveitamento. </t>
  </si>
  <si>
    <t xml:space="preserve">Armação de pilar ou viga de estrutura convencional de concreto armado utilizando aço ca-50 de 6,3 mm - montagem. </t>
  </si>
  <si>
    <t xml:space="preserve">Lançamento com uso de baldes, adensamento e acabamento de concreto em estruturas. </t>
  </si>
  <si>
    <t xml:space="preserve">Subcobertura com manta plástica revestida por película de alumíno, incluso transporte vertical. </t>
  </si>
  <si>
    <t xml:space="preserve">Calha em chapa de aço galvanizado número 24, desenvolvimento de 100 cm, incluso transporte vertical. </t>
  </si>
  <si>
    <t xml:space="preserve">Pintura tinta de acabamento (pigmentada) esmalte sintético acetinado em madeira, 2 demãos. </t>
  </si>
  <si>
    <t>LSH: 84,61%</t>
  </si>
  <si>
    <t xml:space="preserve"> 1.2</t>
  </si>
  <si>
    <t xml:space="preserve"> 1.3</t>
  </si>
  <si>
    <t xml:space="preserve"> 1.4</t>
  </si>
  <si>
    <t xml:space="preserve"> 1.5</t>
  </si>
  <si>
    <t xml:space="preserve"> 1.6</t>
  </si>
  <si>
    <t xml:space="preserve"> 1.7</t>
  </si>
  <si>
    <t xml:space="preserve"> 4.3.2</t>
  </si>
  <si>
    <t xml:space="preserve"> 4.3.3</t>
  </si>
  <si>
    <t xml:space="preserve"> 4.3.4</t>
  </si>
  <si>
    <t xml:space="preserve"> 4.3.5</t>
  </si>
  <si>
    <t xml:space="preserve"> 4.3.10</t>
  </si>
  <si>
    <t xml:space="preserve"> 5.1.2</t>
  </si>
  <si>
    <t xml:space="preserve"> 5.1.6</t>
  </si>
  <si>
    <t xml:space="preserve">21.1 </t>
  </si>
  <si>
    <t xml:space="preserve">21.3 </t>
  </si>
  <si>
    <t>24.5</t>
  </si>
  <si>
    <t>24.6</t>
  </si>
  <si>
    <t xml:space="preserve"> 4.1.2</t>
  </si>
  <si>
    <t xml:space="preserve"> 4.1.3</t>
  </si>
  <si>
    <t xml:space="preserve"> 4.1.4</t>
  </si>
  <si>
    <t xml:space="preserve"> 4.1.5</t>
  </si>
  <si>
    <t xml:space="preserve"> 4.1.11</t>
  </si>
  <si>
    <t xml:space="preserve"> 4.2.2</t>
  </si>
  <si>
    <t xml:space="preserve"> 4.2.3</t>
  </si>
  <si>
    <t xml:space="preserve"> 4.2.4</t>
  </si>
  <si>
    <t xml:space="preserve"> 4.2.5</t>
  </si>
  <si>
    <t>100853 SINAPI</t>
  </si>
  <si>
    <t>Torneira cromada de mesa para lavatório, tipo monocomando. Af_01/2020</t>
  </si>
  <si>
    <t>VALOR UNIT. S/ BDI</t>
  </si>
  <si>
    <t>VALOR UNIT. C/ BDI</t>
  </si>
  <si>
    <t>VALOR TOTAL C/BDI</t>
  </si>
  <si>
    <t>Unit. s/ BDI</t>
  </si>
  <si>
    <t>Total s/ BDI</t>
  </si>
  <si>
    <t>Unit. c/BDI</t>
  </si>
  <si>
    <t>Total c/BDI</t>
  </si>
  <si>
    <t>Valor do BDI</t>
  </si>
  <si>
    <t>Desmobilização - Pinheiro / Alcântara</t>
  </si>
  <si>
    <t>Mobilização - Pinheiro / Alcântara</t>
  </si>
  <si>
    <t>Transporte de areia em caminhão basculante 10 m³, em via urbana pavimentada, DMT acima de 30km (Pinheiro X Alcântara).</t>
  </si>
  <si>
    <t>Transporte de brita em caminhão basculante 10 m³, em via urbana pavimentada, DMT acima de 30km (Pinheiro X Alcântara).</t>
  </si>
  <si>
    <t>13.1.11</t>
  </si>
  <si>
    <t>Ref. Sinapi: JULHO/2023</t>
  </si>
  <si>
    <t>Data:                 SET/ 2023</t>
  </si>
  <si>
    <r>
      <rPr>
        <sz val="10"/>
        <rFont val="Arial"/>
        <family val="2"/>
      </rPr>
      <t xml:space="preserve">Importa o presente orçamento no Valor Global </t>
    </r>
    <r>
      <rPr>
        <b/>
        <sz val="10"/>
        <rFont val="Arial"/>
        <family val="2"/>
      </rPr>
      <t>R$ 1.495.545,61 (</t>
    </r>
    <r>
      <rPr>
        <b/>
        <u/>
        <sz val="10"/>
        <rFont val="Arial"/>
        <family val="2"/>
      </rPr>
      <t>Hum milhão, quatrocentos  e noventa e cinco mil, quinhentos e quarenta e cinco reais e sessenta e um centavos)</t>
    </r>
  </si>
  <si>
    <t xml:space="preserve">Torneira cromada 1/2 ou 3/4 para tanque, padrão médio - fornecimento e instalação. </t>
  </si>
  <si>
    <t xml:space="preserve">Sifão do tipo garrafa/copo em pvc 1.1/4  x 1.1/2 - fornecimento e instalação. </t>
  </si>
  <si>
    <t xml:space="preserve">Mictório sifonado louça branca  padrão médio  fornecimento e instalação. </t>
  </si>
  <si>
    <t xml:space="preserve">Tanque de louça branca com coluna, 30l ou equivalente - fornecimento e instalação. </t>
  </si>
  <si>
    <t xml:space="preserve">Disjuntor bipolar tipo DIN, corrente nominal de 25A - fornecimento e instalação. </t>
  </si>
  <si>
    <t xml:space="preserve">Disjuntor monopolar tipo DIN, corrente nominal de 25A - fornecimento e instalação. </t>
  </si>
  <si>
    <t xml:space="preserve">Disjuntor tripolar tipo DIN, corrente nominal de 25A - fornecimento e instalação. </t>
  </si>
  <si>
    <t xml:space="preserve">Lâmpada tubular fluorescente T8 de 32/36W, base G13 - fornecimento e instalação. </t>
  </si>
  <si>
    <t xml:space="preserve">Lâmpada tubular fluorescente t10 de 20/40 w, base g13 - fornecimento e instalação. </t>
  </si>
  <si>
    <t xml:space="preserve">Luva com redução, em aço, conexão soldada, DN 40 x 32mm (1 1/2" x 1 1/4"), instalado em rede de alimentação para hidrante - fornecimento e instalação. </t>
  </si>
  <si>
    <t xml:space="preserve">Execução de piso industrial de concreto armado, fck= 20Mpa, espessura de 12,0cm. </t>
  </si>
  <si>
    <t>CRONOGRAMA FÍSICO-FINANCEIRO</t>
  </si>
  <si>
    <t>Item</t>
  </si>
  <si>
    <t>Descrição dos Serviços</t>
  </si>
  <si>
    <t>1º MÊS</t>
  </si>
  <si>
    <t>2º MÊS</t>
  </si>
  <si>
    <t>3º MÊS</t>
  </si>
  <si>
    <t>4º MÊS</t>
  </si>
  <si>
    <t>5º MÊS</t>
  </si>
  <si>
    <t>6º MÊS</t>
  </si>
  <si>
    <t>7º MÊS</t>
  </si>
  <si>
    <t>8º MÊS</t>
  </si>
  <si>
    <t>9º MÊS</t>
  </si>
  <si>
    <t>10º MÊS</t>
  </si>
  <si>
    <t>11º MÊS</t>
  </si>
  <si>
    <t>12º MÊS</t>
  </si>
  <si>
    <t>%</t>
  </si>
  <si>
    <t>Preço Total</t>
  </si>
  <si>
    <t>Valor</t>
  </si>
  <si>
    <t>Total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</si>
  <si>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</si>
  <si>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</si>
  <si>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</si>
  <si>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</si>
  <si>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</si>
  <si>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</si>
  <si>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</si>
  <si>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</si>
  <si>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</si>
  <si>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</si>
  <si>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</si>
  <si>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</si>
  <si>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</si>
  <si>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</si>
  <si>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</si>
  <si>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</si>
  <si>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</si>
  <si>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</si>
  <si>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</si>
  <si>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</si>
  <si>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</si>
  <si>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</si>
  <si>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</si>
  <si>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</si>
  <si>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</si>
  <si>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</si>
  <si>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</si>
  <si>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Total Geral</t>
  </si>
  <si>
    <t>Data: Setembro/2023</t>
  </si>
  <si>
    <t>OBJETO: Serviços de Manutenção Corretiva e Preventiva Predial para os Campus de  Imperatriz, Balsas e Grajaú/ MA.</t>
  </si>
  <si>
    <t>Data:         JUNHO 2023</t>
  </si>
  <si>
    <t>Ref. Sinapi: MAIO/2023</t>
  </si>
  <si>
    <t xml:space="preserve"> 4.1.6</t>
  </si>
  <si>
    <t xml:space="preserve"> 99813UD-UFMA </t>
  </si>
  <si>
    <t>Limpeza de armadura com escova de aço</t>
  </si>
  <si>
    <t xml:space="preserve"> 4.1.7</t>
  </si>
  <si>
    <t xml:space="preserve">Pintura com tinta alquídica de fundo (tipo zarcão) aplicada a rolo ou pincel sobre superfícies metálicas (exceto perfil) executado em obra (por demão). Af_01/2020
</t>
  </si>
  <si>
    <t xml:space="preserve"> 4.1.8</t>
  </si>
  <si>
    <t>73865/001 UFMA</t>
  </si>
  <si>
    <t>Fundo preparador a base de primer epox, p/estrutura metálica, uma demão, espessura de 35 micra.</t>
  </si>
  <si>
    <t xml:space="preserve"> 4.1.9</t>
  </si>
  <si>
    <t xml:space="preserve"> 92759 SINAPI</t>
  </si>
  <si>
    <t>Armação de pilar ou viga de estrutura convencional de concreto armado utilizando aço ca-60 de 5,0 mm - montagem. Af_06/2022</t>
  </si>
  <si>
    <t xml:space="preserve"> 4.1.10</t>
  </si>
  <si>
    <t xml:space="preserve">Armação de pilar ou viga de estrutura convencional de concreto armado utilizando aço ca-50 de 10,0 mm - montagem. </t>
  </si>
  <si>
    <t xml:space="preserve"> 4.2.7</t>
  </si>
  <si>
    <t xml:space="preserve"> 4.2.8</t>
  </si>
  <si>
    <t xml:space="preserve"> 4.2.9</t>
  </si>
  <si>
    <t xml:space="preserve"> 4.2.10</t>
  </si>
  <si>
    <t xml:space="preserve"> 4.3.6</t>
  </si>
  <si>
    <t>92515 SINAPI</t>
  </si>
  <si>
    <t>Montagem e desmontagem de fôrma de laje maciça, pé-direito duplo, em chapa de madeira compensada resinada, 6 utilizações. Af_09/2020</t>
  </si>
  <si>
    <t>m2</t>
  </si>
  <si>
    <t>INCLUÍDO</t>
  </si>
  <si>
    <t>inserido de grajau</t>
  </si>
  <si>
    <t xml:space="preserve"> 4.3.7</t>
  </si>
  <si>
    <t xml:space="preserve"> 4.3.8</t>
  </si>
  <si>
    <t xml:space="preserve"> 4.3.9</t>
  </si>
  <si>
    <t xml:space="preserve"> 5.1.3</t>
  </si>
  <si>
    <t>Estrutura treliçada de cobertura, tipo fink, com ligações parafusadas, inclusos perfis metálicos, chapas metálicas, mão de obra e transporte com guindaste - fornecimento e instalação. Af_01/2020</t>
  </si>
  <si>
    <t xml:space="preserve"> 5.1.4</t>
  </si>
  <si>
    <t xml:space="preserve"> 5.1.5</t>
  </si>
  <si>
    <t xml:space="preserve">Pintura com tinta alquídica de fundo (tipo zarcão) aplicada a rolo ou pincel sobre superfícies metálicas (exceto perfil) executado em obra (por demão). Af_01/2020  </t>
  </si>
  <si>
    <t xml:space="preserve"> 12.3</t>
  </si>
  <si>
    <t xml:space="preserve"> 96121 SINAPI</t>
  </si>
  <si>
    <t>Acabamentos para forro (roda-forro em perfil metálico e plástico). Af_05/2017</t>
  </si>
  <si>
    <t xml:space="preserve"> 95305 SINAPI</t>
  </si>
  <si>
    <t>Textura acrílica, aplicação manual em parede, uma demão. Af_09/2016</t>
  </si>
  <si>
    <t>13.1.12</t>
  </si>
  <si>
    <t>Execução de piso industrial de concreto armado, fck = 20Mpa, espessura de 12,0 cm. Af_04/2022</t>
  </si>
  <si>
    <t>Mictório sifonado louça branca  padrão médio  fornecimento e instalação. Af_01/2020</t>
  </si>
  <si>
    <t>Torneira cromada 1/2 ou 3/4 para tanque, padrão médio - fornecimento e instalação. Af_01/2020</t>
  </si>
  <si>
    <t>Sifão do tipo garrafa/copo em pvc 1.1/4  x 1.1/2 - fornecimento e instalação. Af_01/2020</t>
  </si>
  <si>
    <t>Tanque de louça branca com coluna, 30l ou equivalente - fornecimento e instalação. Af_01/2020</t>
  </si>
  <si>
    <t>Luva com redução, em aço, conexão soldada, DN 40 x 32mm (1 1/2" x 1 1/4"), instalado em rede de alimentação para hidrante - fornecimento e instalação. Af_10/2020</t>
  </si>
  <si>
    <t>Disjuntor monopolar tipo DIN, corrente nominal de 25A - fornecimento e instalação. Af_10/2020</t>
  </si>
  <si>
    <t>Disjuntor bipolar tipo DIN, corrente nominal de 25A - fornecimento e instalação. Af_10/2020</t>
  </si>
  <si>
    <t>Disjuntor tripolar tipo DIN, corrente nominal de 25A - fornecimento e instalação. Af_10/2020</t>
  </si>
  <si>
    <t>Lâmpada tubular fluorescente T8 de 32/36W, base G13 - fornecimento e instalação. Af_02/2020</t>
  </si>
  <si>
    <t>Lâmpada tubular fluorescente t10 de 20/40 w, base g13 - fornecimento e instalação. Af_02/2020_ps</t>
  </si>
  <si>
    <t>25.1.4</t>
  </si>
  <si>
    <t xml:space="preserve"> 101859 SINAPI</t>
  </si>
  <si>
    <t>Re-assentamento de blocos sextavado para piso intertravado, espessura de 8 cm, em via/estacionamento, com reaproveitamento dos blocos sextavado - incluso retirada e colocação do material. Af_12/2020</t>
  </si>
  <si>
    <t>25.1.5</t>
  </si>
  <si>
    <t xml:space="preserve"> 101860 SINAPI</t>
  </si>
  <si>
    <t xml:space="preserve">Re-assentamento de blocos sextavado para piso intertravado, espessura de 10 cm, em via/estacionamento, com reaproveitamento dos blocos sextavado - incluso retirada e colocação do material. Af_12/2020
</t>
  </si>
  <si>
    <t>25.1.6</t>
  </si>
  <si>
    <t xml:space="preserve"> 98114 SINAPI</t>
  </si>
  <si>
    <t>Tampa circular para esgoto e drenagem, em ferro fundido, diâmetro interno = 0,6 m. Af_12/2020</t>
  </si>
  <si>
    <t>25.1.7</t>
  </si>
  <si>
    <t xml:space="preserve"> 98115 SINAPI</t>
  </si>
  <si>
    <t>Tampa circular para esgoto e drenagem, em concreto pré-moldado, diâmetro interno = 0,60 m e altura = 0,10 m. Af_12/2020</t>
  </si>
  <si>
    <t>25.1.8</t>
  </si>
  <si>
    <t xml:space="preserve"> 25180202-UFMA </t>
  </si>
  <si>
    <t>Tampa/ laje em concreto estrutural FCK 20 MPa. esp.10cm, perfurada, inclusive forma, armação, lançamento e adensamento.</t>
  </si>
  <si>
    <t>25.1.9</t>
  </si>
  <si>
    <t xml:space="preserve"> 102364 SINAPI</t>
  </si>
  <si>
    <t>Re-instalação de alambrado para quadra poliesportiva, estruturado por tubos de aço galvanizado, (montantes com diametro 2", travessas e escoras com diâmetro 1 ¼), com tela de arame galvanizado, fio 10 bwg e malha quadrada 5x5cm (exceto mureta). Af_03/2021</t>
  </si>
  <si>
    <t>Mobilização - Imperatriz</t>
  </si>
  <si>
    <t>Transporte de areia em caminhão basculante 10 m³, em via urbana pavimentada, DMT acima de 30km (Imperatriz x Balsas x Grajaú).</t>
  </si>
  <si>
    <t>Transporte de brita em caminhão basculante 10 m³, em via urbana pavimentada, DMT acima de 30km (Imperatriz x Balsas x Grajaú).</t>
  </si>
  <si>
    <t>Desmobilização - Imperatriz/Balsas/Grajaú</t>
  </si>
  <si>
    <t>Total dos Serviços c/BDI</t>
  </si>
  <si>
    <r>
      <rPr>
        <sz val="10"/>
        <rFont val="Arial"/>
        <family val="2"/>
      </rPr>
      <t xml:space="preserve">Importa o presente orçamento no Valor Global </t>
    </r>
    <r>
      <rPr>
        <b/>
        <sz val="10"/>
        <rFont val="Arial"/>
        <family val="2"/>
      </rPr>
      <t>R$ 4.837.593,35 (</t>
    </r>
    <r>
      <rPr>
        <i/>
        <u/>
        <sz val="10"/>
        <rFont val="Arial"/>
        <family val="2"/>
      </rPr>
      <t>Quatro milhões, oitocentos e trinta e sete mil, quinhentos e noventa e três reais e trinta e cinco centavos</t>
    </r>
    <r>
      <rPr>
        <b/>
        <u/>
        <sz val="10"/>
        <rFont val="Arial"/>
        <family val="2"/>
      </rPr>
      <t>)</t>
    </r>
  </si>
  <si>
    <t>25.1.2</t>
  </si>
  <si>
    <t>25.1.3</t>
  </si>
  <si>
    <t>Mobilização - Pinheiro / Alcântara / Bacabal</t>
  </si>
  <si>
    <t>CURVA ABC DE SERVIÇOS RELEVANTES</t>
  </si>
  <si>
    <t>OBJETO: Serviços de Manutenção Corretiva e Preventiva Predial para os Campus de  Pinheiro, Alcântara, Bacabal e Cururupu/ MA.</t>
  </si>
  <si>
    <r>
      <rPr>
        <sz val="10"/>
        <rFont val="Arial"/>
        <family val="2"/>
      </rPr>
      <t xml:space="preserve">Importa o presente orçamento no Valor Global </t>
    </r>
    <r>
      <rPr>
        <b/>
        <sz val="10"/>
        <rFont val="Arial"/>
        <family val="2"/>
      </rPr>
      <t>R$ 2.476.969,74 (</t>
    </r>
    <r>
      <rPr>
        <b/>
        <u/>
        <sz val="10"/>
        <rFont val="Arial"/>
        <family val="2"/>
      </rPr>
      <t>Dois milhões, quatrocentos  e setenta e seis mil, novecentos e sessenta e nove reais e setenta e quatro centavos)</t>
    </r>
  </si>
  <si>
    <r>
      <t xml:space="preserve">OBJETO: </t>
    </r>
    <r>
      <rPr>
        <sz val="14"/>
        <rFont val="Courier New"/>
        <family val="3"/>
      </rPr>
      <t xml:space="preserve"> Serviços de Manutenção Corretiva e Preventiva Predial para os Campus de Pinheiro,Alcântara, Bacabal e Cururupu/MA.</t>
    </r>
  </si>
  <si>
    <r>
      <rPr>
        <b/>
        <sz val="11"/>
        <rFont val="Courier New"/>
        <family val="3"/>
      </rPr>
      <t xml:space="preserve">julho/ 2023 </t>
    </r>
    <r>
      <rPr>
        <sz val="11"/>
        <rFont val="Courier New"/>
        <family val="3"/>
      </rPr>
      <t>- Sistema Nacional de Pesquisa de Custos e Índices da Construção Civil  - SINAPI</t>
    </r>
  </si>
  <si>
    <t>UNIVERSIDADE FEDERAL DO MARANHÃO</t>
  </si>
  <si>
    <t>Diretoria de Planejamento Engenharia e Controle - DIPEC</t>
  </si>
  <si>
    <t>OBRA:</t>
  </si>
  <si>
    <t>COMPOSIÇÃO ANALITICA DE ADMINISTRAÇÃO DE CONTRATO LOCAL</t>
  </si>
  <si>
    <t>1 - PESSOAL ADMINISTRAÇÃO</t>
  </si>
  <si>
    <t>Pessoal</t>
  </si>
  <si>
    <t>Qdade (h/Und.)</t>
  </si>
  <si>
    <t>Pz.   Obra (mês)</t>
  </si>
  <si>
    <t>Valor Unitario
C/ LS (R$)</t>
  </si>
  <si>
    <t>Valor 
Parcial (R$)</t>
  </si>
  <si>
    <t>Enc. Soc. Complem.</t>
  </si>
  <si>
    <t>Curso Capac.</t>
  </si>
  <si>
    <t>Valor Parc. + Ens. Soc. Comp.+ Curso Capacitação</t>
  </si>
  <si>
    <t>1.1</t>
  </si>
  <si>
    <t xml:space="preserve">Engenheiro/Arquiteto Pleno </t>
  </si>
  <si>
    <t>1.2</t>
  </si>
  <si>
    <t>Engenheiro/Arquiteto Júnior</t>
  </si>
  <si>
    <t>1.3</t>
  </si>
  <si>
    <t>Engenheiro Mecânico</t>
  </si>
  <si>
    <t>1.4</t>
  </si>
  <si>
    <t>Engenheiro Eletricista</t>
  </si>
  <si>
    <t>1.5</t>
  </si>
  <si>
    <t>Técnico em Edificações</t>
  </si>
  <si>
    <t>1.6</t>
  </si>
  <si>
    <t>Eletrotécnico</t>
  </si>
  <si>
    <t>1.7</t>
  </si>
  <si>
    <t>Mestre</t>
  </si>
  <si>
    <t>1.8</t>
  </si>
  <si>
    <t>Encarregado</t>
  </si>
  <si>
    <t>1.9</t>
  </si>
  <si>
    <t>Almoxarife</t>
  </si>
  <si>
    <t>1.10</t>
  </si>
  <si>
    <t>Apontador</t>
  </si>
  <si>
    <t>1.11</t>
  </si>
  <si>
    <t>Servente</t>
  </si>
  <si>
    <t>1.12</t>
  </si>
  <si>
    <t>Vigia Diurno</t>
  </si>
  <si>
    <t>1.13</t>
  </si>
  <si>
    <t>Vigia Noturno</t>
  </si>
  <si>
    <t>TOTAL (1) (R$)</t>
  </si>
  <si>
    <t>2- SESMT</t>
  </si>
  <si>
    <t>Profissionais</t>
  </si>
  <si>
    <t>Und.</t>
  </si>
  <si>
    <t>Qdade.</t>
  </si>
  <si>
    <t>Prazo Obra (mês)</t>
  </si>
  <si>
    <t>V.Unit.
C/LS (R$)</t>
  </si>
  <si>
    <t>Valor
Parcial (R$)</t>
  </si>
  <si>
    <t>2.1</t>
  </si>
  <si>
    <t>Médico do Trabalho</t>
  </si>
  <si>
    <t>h</t>
  </si>
  <si>
    <t>2.2</t>
  </si>
  <si>
    <t>Engenheiro de Segurança do Trabalho</t>
  </si>
  <si>
    <t>2.3</t>
  </si>
  <si>
    <t>Técnico em Segurança do Trabalho</t>
  </si>
  <si>
    <t>SUBTOTAL 'a' (R$)</t>
  </si>
  <si>
    <t>Relatório</t>
  </si>
  <si>
    <t>Valor (R$)</t>
  </si>
  <si>
    <t>2.4</t>
  </si>
  <si>
    <t>PGR</t>
  </si>
  <si>
    <t>2.5</t>
  </si>
  <si>
    <t>PCMSO</t>
  </si>
  <si>
    <t>2.6</t>
  </si>
  <si>
    <t>PCMAT</t>
  </si>
  <si>
    <t>5.7</t>
  </si>
  <si>
    <t>PGRCC</t>
  </si>
  <si>
    <t>SUBTOTAL 'b' (R$)</t>
  </si>
  <si>
    <t>TOTAL (5) 'a'+'b'(R$)</t>
  </si>
  <si>
    <t xml:space="preserve">3 -  MATERIAIS ADMINISTRATIVOS, TELEFONIA E PLOTAGEM </t>
  </si>
  <si>
    <t>Itam</t>
  </si>
  <si>
    <t>Descrição</t>
  </si>
  <si>
    <t>Valor
 Unit. (R$)</t>
  </si>
  <si>
    <t>Valor Parcial (R$)</t>
  </si>
  <si>
    <t>3.1</t>
  </si>
  <si>
    <t>Materiais consumo(Escritório/Limpeza)</t>
  </si>
  <si>
    <t>mês</t>
  </si>
  <si>
    <t>3.2</t>
  </si>
  <si>
    <t>Telefonia</t>
  </si>
  <si>
    <t>3.3</t>
  </si>
  <si>
    <t>Plotagem eletrônica de projetos, inclusive "Como construído"</t>
  </si>
  <si>
    <r>
      <t>m</t>
    </r>
    <r>
      <rPr>
        <vertAlign val="superscript"/>
        <sz val="10"/>
        <rFont val="Arial"/>
        <family val="2"/>
      </rPr>
      <t>2</t>
    </r>
  </si>
  <si>
    <t>TOTAL (6) (R$)</t>
  </si>
  <si>
    <t>4 - MOBILIÁRIO,  FERRAMENTAS E EQUIPAMENTOS DE PEQUENO PORTE (VALOR A INDENIZAR)</t>
  </si>
  <si>
    <t>Valor a Idenizar (R$)</t>
  </si>
  <si>
    <t>4.1</t>
  </si>
  <si>
    <t>Mobiliário (valor a idenizar)</t>
  </si>
  <si>
    <t>cj</t>
  </si>
  <si>
    <t>TOTAL (7) (R$)</t>
  </si>
  <si>
    <t>3 - VEÍCULO LEVE</t>
  </si>
  <si>
    <t>Depreciação no
 Períoco da Obra (%)</t>
  </si>
  <si>
    <t>Valor Und. (R$)
(c/ Desvalorização       Inicial 10%)</t>
  </si>
  <si>
    <t>Valor a  Idenizar(R$)</t>
  </si>
  <si>
    <t>5.1</t>
  </si>
  <si>
    <t>Veículo leve utilitário a gasolina (SINAPI 13617)</t>
  </si>
  <si>
    <t>QUANT</t>
  </si>
  <si>
    <t>VALOR
 (R$)</t>
  </si>
  <si>
    <t>VALOR PARCIAL (R$)</t>
  </si>
  <si>
    <t>5.2</t>
  </si>
  <si>
    <t>Gasolina (SINAPI 4222)</t>
  </si>
  <si>
    <t>l</t>
  </si>
  <si>
    <t>5.3</t>
  </si>
  <si>
    <t>Motorista (SINAPI 4095) c/ LSM</t>
  </si>
  <si>
    <t>TOTAL (8) (R$)</t>
  </si>
  <si>
    <t>RESUMO</t>
  </si>
  <si>
    <t>Valor R$</t>
  </si>
  <si>
    <t>PESSOAL ADMINISTRAÇÃO</t>
  </si>
  <si>
    <t>SESMT</t>
  </si>
  <si>
    <t>MAT. ADM., TELEFONIA E PLOTAGEM</t>
  </si>
  <si>
    <t>MOBILIÁRIO, FERRAMENTAS, E EQUIP. DE PEQUENO PORTE</t>
  </si>
  <si>
    <t>VEÍCULO DE APOIO TIPO LEVE</t>
  </si>
  <si>
    <t>TOTAL GERAL (R$)</t>
  </si>
  <si>
    <t>TOTAL GERAL C/ TAXA DE ADMINISTRAÇÃO 25,03% (R$)</t>
  </si>
  <si>
    <t>Valor Unitario (R$)</t>
  </si>
  <si>
    <t>ADMINISTRAÇÃO LOCAL</t>
  </si>
  <si>
    <t>Serviços de Manutenção Corretiva e Preventiva Predial para os Campi - Pinheiro e Alcântara, Bacabal e Cururupu/ MA.</t>
  </si>
  <si>
    <t>OBJETO: Serviços de Manutenção Corretiva e Preventiva Predial para os Campus de  Alcântara, Pinheiro e Bacabal e Cururupu/ MA.</t>
  </si>
  <si>
    <t>Transporte de areia em caminhão basculante 10 m³, em via urbana pavimentada, DMT acima de 30km (Pinheiro X Alcântara/ Bacabal).</t>
  </si>
  <si>
    <t>Transporte de brita em caminhão basculante 10 m³, em via urbana pavimentada, DMT acima de 30km (Pinheiro X Alcântara/ Bacabal).</t>
  </si>
  <si>
    <t>Desmobilização - Pinheiro / Alcântara /Bacabal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</si>
</sst>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_(* #,##0.00_);_(* \(#,##0.00\);_(* \-??_);_(@_)"/>
    <numFmt numFmtId="166" formatCode="_(* #,##0.0000_);_(* \(#,##0.0000\);_(* \-??_);_(@_)"/>
    <numFmt numFmtId="167" formatCode="_(* #,##0.0000_);_(* \(#,##0.0000\);_(* &quot;-&quot;??_);_(@_)"/>
    <numFmt numFmtId="168" formatCode="_(* #,##0.00_);_(* \(#,##0.00\);_(* &quot;-&quot;??_);_(@_)"/>
    <numFmt numFmtId="169" formatCode="_(&quot;Cr$&quot;* #,##0.00_);_(&quot;Cr$&quot;* \(#,##0.00\);_(&quot;Cr$&quot;* \-??_);_(@_)"/>
    <numFmt numFmtId="170" formatCode="0.00000"/>
    <numFmt numFmtId="171" formatCode="#,##0.00;[Red]#,##0.00"/>
    <numFmt numFmtId="172" formatCode="_(* #,##0_);_(* \(#,##0\);_(* \-??_);_(@_)"/>
    <numFmt numFmtId="173" formatCode="#,##0.0000"/>
  </numFmts>
  <fonts count="69" x14ac:knownFonts="1">
    <font>
      <sz val="11"/>
      <name val="Arial"/>
      <family val="1"/>
    </font>
    <font>
      <sz val="11"/>
      <color theme="1"/>
      <name val="Calibri"/>
      <family val="2"/>
      <scheme val="minor"/>
    </font>
    <font>
      <b/>
      <sz val="10"/>
      <name val="Arial"/>
      <family val="1"/>
    </font>
    <font>
      <sz val="10"/>
      <name val="Arial"/>
      <family val="1"/>
    </font>
    <font>
      <sz val="11"/>
      <name val="Arial"/>
      <family val="1"/>
    </font>
    <font>
      <sz val="11"/>
      <name val="Arial Narrow"/>
      <family val="2"/>
    </font>
    <font>
      <b/>
      <sz val="11"/>
      <name val="Arial Narrow"/>
      <family val="2"/>
    </font>
    <font>
      <sz val="11"/>
      <color indexed="8"/>
      <name val="Arial Narrow"/>
      <family val="2"/>
    </font>
    <font>
      <b/>
      <sz val="11"/>
      <color indexed="8"/>
      <name val="Arial Narrow"/>
      <family val="2"/>
    </font>
    <font>
      <sz val="10"/>
      <name val="Arial"/>
      <family val="2"/>
    </font>
    <font>
      <sz val="10"/>
      <name val="Arial Narrow"/>
      <family val="2"/>
    </font>
    <font>
      <sz val="11"/>
      <name val="Courier New"/>
      <family val="3"/>
    </font>
    <font>
      <b/>
      <sz val="12"/>
      <name val="Courier New"/>
      <family val="3"/>
    </font>
    <font>
      <b/>
      <sz val="11"/>
      <name val="Courier New"/>
      <family val="3"/>
    </font>
    <font>
      <b/>
      <sz val="10"/>
      <name val="Courier New"/>
      <family val="3"/>
    </font>
    <font>
      <sz val="10"/>
      <color rgb="FF000000"/>
      <name val="Arial"/>
      <family val="1"/>
    </font>
    <font>
      <b/>
      <sz val="10"/>
      <color rgb="FF000000"/>
      <name val="Arial"/>
      <family val="2"/>
    </font>
    <font>
      <b/>
      <sz val="10"/>
      <color rgb="FF000000"/>
      <name val="Arial"/>
      <family val="1"/>
    </font>
    <font>
      <sz val="11"/>
      <color theme="1"/>
      <name val="Arial Narrow"/>
      <family val="2"/>
    </font>
    <font>
      <sz val="11"/>
      <color theme="0"/>
      <name val="Arial Narrow"/>
      <family val="2"/>
    </font>
    <font>
      <sz val="11"/>
      <color rgb="FF000000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1"/>
    </font>
    <font>
      <b/>
      <sz val="10"/>
      <color indexed="8"/>
      <name val="Lucida Calligraphy"/>
      <family val="4"/>
    </font>
    <font>
      <b/>
      <sz val="10"/>
      <color rgb="FF000000"/>
      <name val="Lucida Calligraphy"/>
      <family val="4"/>
    </font>
    <font>
      <b/>
      <sz val="8"/>
      <color indexed="8"/>
      <name val="Arial"/>
      <family val="2"/>
    </font>
    <font>
      <b/>
      <sz val="8"/>
      <color rgb="FF000000"/>
      <name val="Arial"/>
      <family val="2"/>
    </font>
    <font>
      <b/>
      <u/>
      <sz val="10"/>
      <name val="Arial"/>
      <family val="2"/>
    </font>
    <font>
      <b/>
      <sz val="14"/>
      <name val="Courier New"/>
      <family val="3"/>
    </font>
    <font>
      <sz val="14"/>
      <name val="Courier New"/>
      <family val="3"/>
    </font>
    <font>
      <b/>
      <sz val="9"/>
      <name val="Arial"/>
      <family val="2"/>
    </font>
    <font>
      <sz val="11"/>
      <color theme="0" tint="-0.34998626667073579"/>
      <name val="Arial"/>
      <family val="1"/>
    </font>
    <font>
      <b/>
      <sz val="11"/>
      <color theme="0" tint="-0.34998626667073579"/>
      <name val="Arial"/>
      <family val="1"/>
    </font>
    <font>
      <sz val="9"/>
      <name val="Arial"/>
      <family val="1"/>
    </font>
    <font>
      <b/>
      <sz val="9"/>
      <name val="Arial"/>
      <family val="1"/>
    </font>
    <font>
      <b/>
      <sz val="11"/>
      <name val="Arial"/>
      <family val="1"/>
    </font>
    <font>
      <b/>
      <sz val="9"/>
      <color rgb="FF000000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color rgb="FFFF0000"/>
      <name val="Georgia"/>
      <family val="1"/>
    </font>
    <font>
      <sz val="11"/>
      <name val="Georgia"/>
      <family val="1"/>
    </font>
    <font>
      <b/>
      <sz val="10"/>
      <color rgb="FFFF0000"/>
      <name val="Georgia"/>
      <family val="1"/>
    </font>
    <font>
      <sz val="11"/>
      <color rgb="FFFF0000"/>
      <name val="Georgia"/>
      <family val="1"/>
    </font>
    <font>
      <i/>
      <u/>
      <sz val="10"/>
      <name val="Arial"/>
      <family val="2"/>
    </font>
    <font>
      <b/>
      <sz val="10"/>
      <color rgb="FFFF0000"/>
      <name val="Arial"/>
      <family val="1"/>
    </font>
    <font>
      <sz val="10"/>
      <color rgb="FFFF0000"/>
      <name val="Arial"/>
      <family val="1"/>
    </font>
    <font>
      <sz val="9"/>
      <color rgb="FFFF0000"/>
      <name val="Arial"/>
      <family val="1"/>
    </font>
    <font>
      <sz val="11"/>
      <color rgb="FFFF0000"/>
      <name val="Arial"/>
      <family val="1"/>
    </font>
    <font>
      <b/>
      <sz val="13"/>
      <color rgb="FF000000"/>
      <name val="Calibri"/>
      <family val="2"/>
      <scheme val="minor"/>
    </font>
    <font>
      <b/>
      <sz val="13"/>
      <name val="Arial"/>
      <family val="2"/>
    </font>
    <font>
      <b/>
      <sz val="7"/>
      <color rgb="FF000000"/>
      <name val="Arial"/>
      <family val="2"/>
    </font>
    <font>
      <sz val="11"/>
      <name val="Arial"/>
      <family val="2"/>
    </font>
    <font>
      <sz val="10"/>
      <color rgb="FF000000"/>
      <name val="Arial"/>
      <family val="2"/>
    </font>
    <font>
      <vertAlign val="superscript"/>
      <sz val="10"/>
      <name val="Arial"/>
      <family val="2"/>
    </font>
    <font>
      <b/>
      <sz val="6"/>
      <name val="Arial"/>
      <family val="2"/>
    </font>
    <font>
      <b/>
      <sz val="10"/>
      <color rgb="FFFF0000"/>
      <name val="Arial"/>
      <family val="2"/>
    </font>
    <font>
      <b/>
      <sz val="11"/>
      <color theme="0" tint="-0.34998626667073579"/>
      <name val="Arial"/>
      <family val="2"/>
    </font>
    <font>
      <sz val="11"/>
      <color theme="5"/>
      <name val="Calibri"/>
      <family val="2"/>
      <scheme val="minor"/>
    </font>
    <font>
      <sz val="8"/>
      <color rgb="FFFF0000"/>
      <name val="Arial"/>
      <family val="2"/>
    </font>
    <font>
      <sz val="8"/>
      <color rgb="FF000000"/>
      <name val="Calibri"/>
      <family val="2"/>
      <scheme val="minor"/>
    </font>
    <font>
      <sz val="8"/>
      <color indexed="8"/>
      <name val="Arial"/>
      <family val="2"/>
    </font>
    <font>
      <sz val="8"/>
      <color rgb="FF000000"/>
      <name val="Arial"/>
      <family val="2"/>
    </font>
    <font>
      <sz val="7"/>
      <name val="Times New Roman"/>
      <family val="1"/>
    </font>
    <font>
      <b/>
      <sz val="16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9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0" fillId="0" borderId="0"/>
    <xf numFmtId="0" fontId="9" fillId="0" borderId="0"/>
    <xf numFmtId="0" fontId="9" fillId="0" borderId="0" applyFill="0" applyBorder="0" applyAlignment="0" applyProtection="0"/>
    <xf numFmtId="0" fontId="20" fillId="0" borderId="0"/>
    <xf numFmtId="0" fontId="1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45" applyNumberFormat="0" applyFont="0" applyAlignment="0" applyProtection="0"/>
    <xf numFmtId="0" fontId="1" fillId="11" borderId="45" applyNumberFormat="0" applyFont="0" applyAlignment="0" applyProtection="0"/>
    <xf numFmtId="0" fontId="1" fillId="11" borderId="45" applyNumberFormat="0" applyFont="0" applyAlignment="0" applyProtection="0"/>
    <xf numFmtId="0" fontId="1" fillId="11" borderId="45" applyNumberFormat="0" applyFont="0" applyAlignment="0" applyProtection="0"/>
    <xf numFmtId="0" fontId="1" fillId="11" borderId="45" applyNumberFormat="0" applyFont="0" applyAlignment="0" applyProtection="0"/>
    <xf numFmtId="0" fontId="1" fillId="11" borderId="45" applyNumberFormat="0" applyFont="0" applyAlignment="0" applyProtection="0"/>
    <xf numFmtId="9" fontId="1" fillId="0" borderId="0" applyFont="0" applyFill="0" applyBorder="0" applyAlignment="0" applyProtection="0"/>
    <xf numFmtId="168" fontId="20" fillId="0" borderId="0" applyFont="0" applyFill="0" applyBorder="0" applyAlignment="0" applyProtection="0"/>
  </cellStyleXfs>
  <cellXfs count="508">
    <xf numFmtId="0" fontId="0" fillId="0" borderId="0" xfId="0"/>
    <xf numFmtId="4" fontId="0" fillId="0" borderId="0" xfId="0" applyNumberFormat="1"/>
    <xf numFmtId="0" fontId="0" fillId="0" borderId="0" xfId="0" applyAlignment="1">
      <alignment horizontal="right" vertical="top"/>
    </xf>
    <xf numFmtId="0" fontId="0" fillId="0" borderId="0" xfId="0" applyAlignment="1">
      <alignment horizontal="left" vertical="top"/>
    </xf>
    <xf numFmtId="166" fontId="0" fillId="0" borderId="0" xfId="3" applyNumberFormat="1" applyFont="1" applyFill="1" applyBorder="1" applyAlignment="1" applyProtection="1">
      <alignment vertical="center"/>
    </xf>
    <xf numFmtId="167" fontId="0" fillId="0" borderId="0" xfId="3" applyNumberFormat="1" applyFont="1" applyBorder="1" applyAlignment="1">
      <alignment vertical="center"/>
    </xf>
    <xf numFmtId="165" fontId="0" fillId="0" borderId="0" xfId="3" applyNumberFormat="1" applyFont="1" applyFill="1" applyBorder="1" applyAlignment="1" applyProtection="1">
      <alignment vertical="center"/>
    </xf>
    <xf numFmtId="168" fontId="0" fillId="0" borderId="0" xfId="3" applyNumberFormat="1" applyFont="1" applyBorder="1" applyAlignment="1">
      <alignment vertical="center"/>
    </xf>
    <xf numFmtId="166" fontId="9" fillId="0" borderId="0" xfId="3" applyNumberFormat="1" applyFont="1" applyFill="1" applyBorder="1" applyAlignment="1">
      <alignment horizontal="right" vertical="center"/>
    </xf>
    <xf numFmtId="165" fontId="5" fillId="0" borderId="0" xfId="3" applyNumberFormat="1" applyFont="1" applyFill="1" applyBorder="1" applyAlignment="1" applyProtection="1">
      <alignment vertical="center"/>
    </xf>
    <xf numFmtId="166" fontId="5" fillId="0" borderId="0" xfId="3" applyNumberFormat="1" applyFont="1" applyFill="1" applyBorder="1" applyAlignment="1" applyProtection="1">
      <alignment vertical="center"/>
    </xf>
    <xf numFmtId="165" fontId="10" fillId="0" borderId="0" xfId="3" applyNumberFormat="1" applyFont="1" applyFill="1" applyBorder="1" applyAlignment="1" applyProtection="1">
      <alignment vertical="center"/>
    </xf>
    <xf numFmtId="10" fontId="7" fillId="0" borderId="0" xfId="2" applyNumberFormat="1" applyFont="1" applyFill="1" applyBorder="1" applyAlignment="1">
      <alignment vertical="center"/>
    </xf>
    <xf numFmtId="10" fontId="7" fillId="0" borderId="0" xfId="2" applyNumberFormat="1" applyFont="1" applyFill="1" applyBorder="1" applyAlignment="1">
      <alignment horizontal="right" vertical="center"/>
    </xf>
    <xf numFmtId="168" fontId="0" fillId="0" borderId="0" xfId="3" applyNumberFormat="1" applyFont="1" applyFill="1" applyBorder="1" applyAlignment="1">
      <alignment vertical="center"/>
    </xf>
    <xf numFmtId="168" fontId="10" fillId="0" borderId="0" xfId="3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10" fontId="8" fillId="0" borderId="0" xfId="0" applyNumberFormat="1" applyFont="1" applyAlignment="1">
      <alignment horizontal="right" vertical="center"/>
    </xf>
    <xf numFmtId="10" fontId="7" fillId="0" borderId="0" xfId="0" applyNumberFormat="1" applyFont="1" applyAlignment="1">
      <alignment horizontal="right" vertical="center"/>
    </xf>
    <xf numFmtId="166" fontId="7" fillId="0" borderId="0" xfId="0" applyNumberFormat="1" applyFont="1" applyAlignment="1">
      <alignment horizontal="right" vertical="center"/>
    </xf>
    <xf numFmtId="2" fontId="7" fillId="0" borderId="0" xfId="0" applyNumberFormat="1" applyFont="1" applyAlignment="1">
      <alignment vertical="center"/>
    </xf>
    <xf numFmtId="2" fontId="7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5" fillId="0" borderId="0" xfId="0" applyFont="1" applyAlignment="1">
      <alignment horizontal="right" vertical="center"/>
    </xf>
    <xf numFmtId="10" fontId="8" fillId="0" borderId="0" xfId="2" applyNumberFormat="1" applyFont="1" applyFill="1" applyBorder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2" fontId="11" fillId="0" borderId="0" xfId="3" applyNumberFormat="1" applyFont="1" applyFill="1" applyBorder="1" applyAlignment="1" applyProtection="1">
      <alignment horizontal="center" vertical="top"/>
    </xf>
    <xf numFmtId="43" fontId="11" fillId="0" borderId="0" xfId="3" applyFont="1" applyFill="1" applyBorder="1" applyAlignment="1" applyProtection="1">
      <alignment horizontal="center" vertical="top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3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 vertical="top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1" fillId="0" borderId="0" xfId="3" applyNumberFormat="1" applyFont="1" applyFill="1" applyBorder="1" applyAlignment="1" applyProtection="1"/>
    <xf numFmtId="14" fontId="14" fillId="0" borderId="0" xfId="0" applyNumberFormat="1" applyFont="1"/>
    <xf numFmtId="0" fontId="11" fillId="0" borderId="0" xfId="0" applyFont="1" applyAlignment="1">
      <alignment vertical="center"/>
    </xf>
    <xf numFmtId="9" fontId="13" fillId="0" borderId="0" xfId="0" applyNumberFormat="1" applyFont="1" applyAlignment="1">
      <alignment horizontal="right" vertical="center"/>
    </xf>
    <xf numFmtId="10" fontId="13" fillId="0" borderId="0" xfId="2" applyNumberFormat="1" applyFont="1" applyFill="1" applyBorder="1" applyAlignment="1">
      <alignment horizontal="right" vertical="center" wrapText="1"/>
    </xf>
    <xf numFmtId="0" fontId="13" fillId="0" borderId="0" xfId="0" applyFont="1" applyAlignment="1">
      <alignment vertical="top" wrapText="1"/>
    </xf>
    <xf numFmtId="0" fontId="11" fillId="0" borderId="2" xfId="0" applyFont="1" applyBorder="1"/>
    <xf numFmtId="0" fontId="11" fillId="0" borderId="3" xfId="0" applyFont="1" applyBorder="1"/>
    <xf numFmtId="0" fontId="13" fillId="0" borderId="4" xfId="0" applyFont="1" applyBorder="1"/>
    <xf numFmtId="0" fontId="11" fillId="0" borderId="5" xfId="0" applyFont="1" applyBorder="1"/>
    <xf numFmtId="0" fontId="11" fillId="0" borderId="6" xfId="0" applyFont="1" applyBorder="1"/>
    <xf numFmtId="0" fontId="11" fillId="0" borderId="7" xfId="0" applyFont="1" applyBorder="1"/>
    <xf numFmtId="0" fontId="11" fillId="0" borderId="8" xfId="0" applyFont="1" applyBorder="1"/>
    <xf numFmtId="0" fontId="11" fillId="0" borderId="9" xfId="0" applyFont="1" applyBorder="1"/>
    <xf numFmtId="0" fontId="2" fillId="2" borderId="15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right" vertical="center" wrapText="1"/>
    </xf>
    <xf numFmtId="0" fontId="17" fillId="2" borderId="1" xfId="0" applyFont="1" applyFill="1" applyBorder="1" applyAlignment="1">
      <alignment horizontal="left" vertical="center" wrapText="1"/>
    </xf>
    <xf numFmtId="4" fontId="17" fillId="2" borderId="1" xfId="0" applyNumberFormat="1" applyFont="1" applyFill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6" fillId="0" borderId="0" xfId="4" applyFont="1" applyAlignment="1">
      <alignment vertical="center"/>
    </xf>
    <xf numFmtId="0" fontId="28" fillId="0" borderId="0" xfId="4" applyFont="1" applyAlignment="1">
      <alignment vertical="center"/>
    </xf>
    <xf numFmtId="0" fontId="22" fillId="0" borderId="0" xfId="0" applyFont="1"/>
    <xf numFmtId="4" fontId="15" fillId="0" borderId="0" xfId="0" applyNumberFormat="1" applyFont="1" applyAlignment="1">
      <alignment horizontal="right" vertical="top" wrapText="1"/>
    </xf>
    <xf numFmtId="0" fontId="21" fillId="0" borderId="0" xfId="4" applyFont="1" applyAlignment="1">
      <alignment vertical="center" wrapText="1"/>
    </xf>
    <xf numFmtId="0" fontId="22" fillId="0" borderId="0" xfId="4" applyFont="1" applyAlignment="1">
      <alignment vertical="center" wrapText="1"/>
    </xf>
    <xf numFmtId="0" fontId="23" fillId="0" borderId="0" xfId="4" applyFont="1" applyAlignment="1">
      <alignment vertical="center" wrapText="1"/>
    </xf>
    <xf numFmtId="0" fontId="24" fillId="0" borderId="0" xfId="4" applyFont="1" applyAlignment="1">
      <alignment vertical="center" wrapText="1"/>
    </xf>
    <xf numFmtId="4" fontId="17" fillId="2" borderId="0" xfId="0" applyNumberFormat="1" applyFont="1" applyFill="1" applyAlignment="1">
      <alignment horizontal="right" vertical="top" wrapText="1"/>
    </xf>
    <xf numFmtId="4" fontId="16" fillId="2" borderId="0" xfId="0" applyNumberFormat="1" applyFont="1" applyFill="1" applyAlignment="1">
      <alignment horizontal="right" vertical="top" wrapText="1"/>
    </xf>
    <xf numFmtId="4" fontId="3" fillId="0" borderId="0" xfId="0" applyNumberFormat="1" applyFont="1"/>
    <xf numFmtId="4" fontId="5" fillId="0" borderId="3" xfId="0" applyNumberFormat="1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10" fontId="5" fillId="0" borderId="3" xfId="2" applyNumberFormat="1" applyFont="1" applyFill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0" fontId="5" fillId="0" borderId="3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quotePrefix="1" applyFont="1" applyAlignment="1">
      <alignment horizontal="left" vertical="center"/>
    </xf>
    <xf numFmtId="170" fontId="19" fillId="0" borderId="0" xfId="0" applyNumberFormat="1" applyFont="1" applyAlignment="1">
      <alignment vertical="center"/>
    </xf>
    <xf numFmtId="4" fontId="5" fillId="0" borderId="3" xfId="0" applyNumberFormat="1" applyFont="1" applyBorder="1" applyAlignment="1">
      <alignment horizontal="left" vertical="center"/>
    </xf>
    <xf numFmtId="2" fontId="19" fillId="0" borderId="0" xfId="0" applyNumberFormat="1" applyFont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165" fontId="5" fillId="0" borderId="8" xfId="3" applyNumberFormat="1" applyFont="1" applyFill="1" applyBorder="1" applyAlignment="1" applyProtection="1">
      <alignment vertical="center"/>
    </xf>
    <xf numFmtId="0" fontId="5" fillId="0" borderId="9" xfId="0" applyFont="1" applyBorder="1" applyAlignment="1">
      <alignment vertical="center"/>
    </xf>
    <xf numFmtId="169" fontId="5" fillId="0" borderId="10" xfId="1" applyNumberFormat="1" applyFont="1" applyFill="1" applyBorder="1" applyAlignment="1" applyProtection="1">
      <alignment horizontal="left" vertical="center"/>
    </xf>
    <xf numFmtId="0" fontId="7" fillId="0" borderId="11" xfId="0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165" fontId="5" fillId="0" borderId="11" xfId="3" applyNumberFormat="1" applyFont="1" applyFill="1" applyBorder="1" applyAlignment="1" applyProtection="1">
      <alignment vertical="center"/>
    </xf>
    <xf numFmtId="4" fontId="5" fillId="0" borderId="12" xfId="0" applyNumberFormat="1" applyFont="1" applyBorder="1" applyAlignment="1">
      <alignment vertical="center"/>
    </xf>
    <xf numFmtId="0" fontId="5" fillId="3" borderId="0" xfId="0" applyFont="1" applyFill="1" applyAlignment="1">
      <alignment horizontal="center" vertical="center"/>
    </xf>
    <xf numFmtId="165" fontId="5" fillId="3" borderId="0" xfId="3" applyNumberFormat="1" applyFont="1" applyFill="1" applyBorder="1" applyAlignment="1" applyProtection="1">
      <alignment horizontal="left" vertical="center"/>
    </xf>
    <xf numFmtId="165" fontId="5" fillId="3" borderId="0" xfId="3" applyNumberFormat="1" applyFont="1" applyFill="1" applyBorder="1" applyAlignment="1" applyProtection="1">
      <alignment horizontal="center" vertical="center"/>
    </xf>
    <xf numFmtId="165" fontId="5" fillId="3" borderId="0" xfId="3" applyNumberFormat="1" applyFont="1" applyFill="1" applyBorder="1" applyAlignment="1" applyProtection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3" borderId="0" xfId="0" applyFont="1" applyFill="1" applyAlignment="1">
      <alignment horizontal="left" vertical="center"/>
    </xf>
    <xf numFmtId="165" fontId="5" fillId="3" borderId="0" xfId="3" applyNumberFormat="1" applyFont="1" applyFill="1" applyBorder="1" applyAlignment="1" applyProtection="1">
      <alignment horizontal="right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65" fontId="5" fillId="0" borderId="11" xfId="3" applyNumberFormat="1" applyFont="1" applyFill="1" applyBorder="1" applyAlignment="1" applyProtection="1">
      <alignment horizontal="center" vertical="center"/>
    </xf>
    <xf numFmtId="165" fontId="5" fillId="0" borderId="12" xfId="3" applyNumberFormat="1" applyFont="1" applyFill="1" applyBorder="1" applyAlignment="1" applyProtection="1">
      <alignment horizontal="center" vertical="center"/>
    </xf>
    <xf numFmtId="10" fontId="35" fillId="0" borderId="0" xfId="2" applyNumberFormat="1" applyFont="1" applyAlignment="1"/>
    <xf numFmtId="0" fontId="34" fillId="0" borderId="0" xfId="0" applyFont="1"/>
    <xf numFmtId="10" fontId="22" fillId="0" borderId="0" xfId="0" applyNumberFormat="1" applyFont="1"/>
    <xf numFmtId="0" fontId="15" fillId="0" borderId="0" xfId="0" applyFont="1" applyAlignment="1">
      <alignment horizontal="center" vertical="center" wrapText="1"/>
    </xf>
    <xf numFmtId="4" fontId="15" fillId="0" borderId="0" xfId="0" applyNumberFormat="1" applyFont="1" applyAlignment="1">
      <alignment horizontal="center" vertical="center" wrapText="1"/>
    </xf>
    <xf numFmtId="4" fontId="15" fillId="0" borderId="0" xfId="0" applyNumberFormat="1" applyFont="1" applyAlignment="1">
      <alignment horizontal="right" vertical="center" wrapText="1"/>
    </xf>
    <xf numFmtId="4" fontId="15" fillId="0" borderId="3" xfId="0" applyNumberFormat="1" applyFont="1" applyBorder="1" applyAlignment="1">
      <alignment horizontal="right" vertical="center" wrapText="1"/>
    </xf>
    <xf numFmtId="4" fontId="0" fillId="0" borderId="0" xfId="0" applyNumberFormat="1" applyAlignment="1">
      <alignment vertical="center"/>
    </xf>
    <xf numFmtId="10" fontId="33" fillId="2" borderId="17" xfId="0" applyNumberFormat="1" applyFont="1" applyFill="1" applyBorder="1" applyAlignment="1">
      <alignment horizontal="left" vertical="center"/>
    </xf>
    <xf numFmtId="4" fontId="24" fillId="2" borderId="13" xfId="4" applyNumberFormat="1" applyFont="1" applyFill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righ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37" fillId="2" borderId="1" xfId="0" applyFont="1" applyFill="1" applyBorder="1" applyAlignment="1">
      <alignment horizontal="right" vertical="center" wrapText="1"/>
    </xf>
    <xf numFmtId="4" fontId="2" fillId="2" borderId="13" xfId="0" applyNumberFormat="1" applyFont="1" applyFill="1" applyBorder="1" applyAlignment="1">
      <alignment horizontal="right" vertical="center" wrapText="1"/>
    </xf>
    <xf numFmtId="0" fontId="36" fillId="0" borderId="1" xfId="0" applyFont="1" applyBorder="1" applyAlignment="1">
      <alignment vertical="center" wrapText="1"/>
    </xf>
    <xf numFmtId="0" fontId="37" fillId="2" borderId="1" xfId="0" applyFont="1" applyFill="1" applyBorder="1" applyAlignment="1">
      <alignment vertical="center" wrapText="1"/>
    </xf>
    <xf numFmtId="0" fontId="23" fillId="2" borderId="14" xfId="0" applyFont="1" applyFill="1" applyBorder="1" applyAlignment="1">
      <alignment horizontal="left" vertical="center" wrapText="1"/>
    </xf>
    <xf numFmtId="0" fontId="33" fillId="2" borderId="1" xfId="0" applyFont="1" applyFill="1" applyBorder="1" applyAlignment="1">
      <alignment horizontal="right"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center" vertical="center" wrapText="1"/>
    </xf>
    <xf numFmtId="4" fontId="23" fillId="2" borderId="1" xfId="0" applyNumberFormat="1" applyFont="1" applyFill="1" applyBorder="1" applyAlignment="1">
      <alignment horizontal="righ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0" xfId="0" applyFont="1" applyAlignment="1">
      <alignment horizontal="right" vertical="center" wrapText="1"/>
    </xf>
    <xf numFmtId="0" fontId="15" fillId="0" borderId="0" xfId="0" applyFont="1" applyAlignment="1">
      <alignment horizontal="left" vertical="center" wrapText="1"/>
    </xf>
    <xf numFmtId="10" fontId="0" fillId="0" borderId="0" xfId="0" applyNumberFormat="1"/>
    <xf numFmtId="4" fontId="3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0" fontId="38" fillId="0" borderId="0" xfId="0" applyFont="1"/>
    <xf numFmtId="4" fontId="2" fillId="2" borderId="26" xfId="0" applyNumberFormat="1" applyFont="1" applyFill="1" applyBorder="1" applyAlignment="1">
      <alignment horizontal="right" vertical="center" wrapText="1"/>
    </xf>
    <xf numFmtId="0" fontId="37" fillId="2" borderId="16" xfId="0" applyFont="1" applyFill="1" applyBorder="1" applyAlignment="1">
      <alignment horizontal="center" vertical="center" wrapText="1"/>
    </xf>
    <xf numFmtId="0" fontId="37" fillId="2" borderId="17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right" vertical="center" wrapText="1"/>
    </xf>
    <xf numFmtId="0" fontId="15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/>
    </xf>
    <xf numFmtId="4" fontId="15" fillId="0" borderId="5" xfId="0" applyNumberFormat="1" applyFont="1" applyBorder="1" applyAlignment="1">
      <alignment horizontal="righ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right" vertical="center" wrapText="1"/>
    </xf>
    <xf numFmtId="0" fontId="15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vertical="center"/>
    </xf>
    <xf numFmtId="4" fontId="15" fillId="0" borderId="8" xfId="0" applyNumberFormat="1" applyFont="1" applyBorder="1" applyAlignment="1">
      <alignment horizontal="right" vertical="center" wrapText="1"/>
    </xf>
    <xf numFmtId="4" fontId="16" fillId="0" borderId="6" xfId="0" applyNumberFormat="1" applyFont="1" applyBorder="1" applyAlignment="1">
      <alignment horizontal="right" vertical="center" wrapText="1"/>
    </xf>
    <xf numFmtId="4" fontId="16" fillId="0" borderId="3" xfId="0" applyNumberFormat="1" applyFont="1" applyBorder="1" applyAlignment="1">
      <alignment horizontal="right" vertical="center" wrapText="1"/>
    </xf>
    <xf numFmtId="4" fontId="16" fillId="0" borderId="9" xfId="0" applyNumberFormat="1" applyFont="1" applyBorder="1" applyAlignment="1">
      <alignment horizontal="right" vertical="center" wrapText="1"/>
    </xf>
    <xf numFmtId="10" fontId="0" fillId="0" borderId="0" xfId="0" applyNumberFormat="1" applyAlignment="1">
      <alignment vertical="center"/>
    </xf>
    <xf numFmtId="4" fontId="37" fillId="2" borderId="16" xfId="0" applyNumberFormat="1" applyFont="1" applyFill="1" applyBorder="1" applyAlignment="1">
      <alignment horizontal="center" vertical="center" wrapText="1"/>
    </xf>
    <xf numFmtId="4" fontId="24" fillId="2" borderId="27" xfId="4" applyNumberFormat="1" applyFont="1" applyFill="1" applyBorder="1" applyAlignment="1">
      <alignment vertical="center" wrapText="1"/>
    </xf>
    <xf numFmtId="4" fontId="24" fillId="2" borderId="28" xfId="4" applyNumberFormat="1" applyFont="1" applyFill="1" applyBorder="1" applyAlignment="1">
      <alignment vertical="center" wrapText="1"/>
    </xf>
    <xf numFmtId="0" fontId="0" fillId="4" borderId="0" xfId="0" applyFill="1" applyAlignment="1">
      <alignment vertical="center"/>
    </xf>
    <xf numFmtId="4" fontId="15" fillId="4" borderId="0" xfId="0" applyNumberFormat="1" applyFont="1" applyFill="1" applyAlignment="1">
      <alignment horizontal="right" vertical="center" wrapText="1"/>
    </xf>
    <xf numFmtId="4" fontId="16" fillId="4" borderId="3" xfId="0" applyNumberFormat="1" applyFont="1" applyFill="1" applyBorder="1" applyAlignment="1">
      <alignment horizontal="right" vertical="center" wrapText="1"/>
    </xf>
    <xf numFmtId="0" fontId="36" fillId="0" borderId="0" xfId="0" applyFont="1" applyAlignment="1">
      <alignment vertical="center"/>
    </xf>
    <xf numFmtId="4" fontId="3" fillId="0" borderId="0" xfId="0" applyNumberFormat="1" applyFont="1" applyAlignment="1">
      <alignment horizontal="right" vertical="center" wrapText="1"/>
    </xf>
    <xf numFmtId="4" fontId="23" fillId="5" borderId="32" xfId="5" applyNumberFormat="1" applyFont="1" applyFill="1" applyBorder="1" applyAlignment="1">
      <alignment horizontal="center" vertical="center"/>
    </xf>
    <xf numFmtId="4" fontId="23" fillId="6" borderId="37" xfId="5" applyNumberFormat="1" applyFont="1" applyFill="1" applyBorder="1" applyAlignment="1">
      <alignment horizontal="center" vertical="center"/>
    </xf>
    <xf numFmtId="4" fontId="23" fillId="5" borderId="37" xfId="5" applyNumberFormat="1" applyFont="1" applyFill="1" applyBorder="1" applyAlignment="1">
      <alignment horizontal="center" vertical="center"/>
    </xf>
    <xf numFmtId="49" fontId="41" fillId="5" borderId="36" xfId="5" applyNumberFormat="1" applyFont="1" applyFill="1" applyBorder="1" applyAlignment="1">
      <alignment horizontal="center" vertical="center"/>
    </xf>
    <xf numFmtId="4" fontId="33" fillId="5" borderId="37" xfId="5" applyNumberFormat="1" applyFont="1" applyFill="1" applyBorder="1" applyAlignment="1">
      <alignment vertical="center" wrapText="1"/>
    </xf>
    <xf numFmtId="0" fontId="42" fillId="6" borderId="37" xfId="6" applyFont="1" applyFill="1" applyBorder="1" applyAlignment="1">
      <alignment horizontal="center" vertical="center"/>
    </xf>
    <xf numFmtId="165" fontId="42" fillId="5" borderId="37" xfId="6" applyNumberFormat="1" applyFont="1" applyFill="1" applyBorder="1" applyAlignment="1">
      <alignment vertical="center"/>
    </xf>
    <xf numFmtId="1" fontId="42" fillId="6" borderId="37" xfId="6" applyNumberFormat="1" applyFont="1" applyFill="1" applyBorder="1" applyAlignment="1">
      <alignment horizontal="center" vertical="center"/>
    </xf>
    <xf numFmtId="165" fontId="9" fillId="5" borderId="37" xfId="6" applyNumberFormat="1" applyFill="1" applyBorder="1" applyAlignment="1">
      <alignment vertical="center"/>
    </xf>
    <xf numFmtId="165" fontId="23" fillId="5" borderId="38" xfId="6" applyNumberFormat="1" applyFont="1" applyFill="1" applyBorder="1" applyAlignment="1">
      <alignment horizontal="right" vertical="center"/>
    </xf>
    <xf numFmtId="1" fontId="0" fillId="0" borderId="0" xfId="0" applyNumberFormat="1"/>
    <xf numFmtId="4" fontId="33" fillId="5" borderId="37" xfId="5" applyNumberFormat="1" applyFont="1" applyFill="1" applyBorder="1" applyAlignment="1">
      <alignment vertical="center"/>
    </xf>
    <xf numFmtId="4" fontId="16" fillId="0" borderId="13" xfId="0" applyNumberFormat="1" applyFont="1" applyBorder="1" applyAlignment="1">
      <alignment vertical="center" wrapText="1"/>
    </xf>
    <xf numFmtId="4" fontId="33" fillId="5" borderId="39" xfId="5" applyNumberFormat="1" applyFont="1" applyFill="1" applyBorder="1" applyAlignment="1">
      <alignment vertical="center" wrapText="1"/>
    </xf>
    <xf numFmtId="0" fontId="42" fillId="6" borderId="39" xfId="6" applyFont="1" applyFill="1" applyBorder="1" applyAlignment="1">
      <alignment horizontal="center" vertical="center"/>
    </xf>
    <xf numFmtId="1" fontId="42" fillId="6" borderId="39" xfId="6" applyNumberFormat="1" applyFont="1" applyFill="1" applyBorder="1" applyAlignment="1">
      <alignment horizontal="center" vertical="center"/>
    </xf>
    <xf numFmtId="165" fontId="23" fillId="5" borderId="40" xfId="6" applyNumberFormat="1" applyFont="1" applyFill="1" applyBorder="1" applyAlignment="1">
      <alignment horizontal="right" vertical="center"/>
    </xf>
    <xf numFmtId="9" fontId="0" fillId="0" borderId="0" xfId="0" applyNumberFormat="1"/>
    <xf numFmtId="43" fontId="0" fillId="0" borderId="0" xfId="0" applyNumberFormat="1"/>
    <xf numFmtId="10" fontId="2" fillId="2" borderId="0" xfId="2" applyNumberFormat="1" applyFont="1" applyFill="1" applyBorder="1" applyAlignment="1">
      <alignment horizontal="right" vertical="center" wrapText="1"/>
    </xf>
    <xf numFmtId="0" fontId="9" fillId="0" borderId="14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44" fillId="0" borderId="44" xfId="0" applyNumberFormat="1" applyFont="1" applyBorder="1" applyAlignment="1">
      <alignment horizontal="right" vertical="center" wrapText="1"/>
    </xf>
    <xf numFmtId="0" fontId="45" fillId="0" borderId="0" xfId="0" applyFont="1" applyAlignment="1">
      <alignment vertical="center"/>
    </xf>
    <xf numFmtId="0" fontId="3" fillId="0" borderId="1" xfId="0" applyFont="1" applyBorder="1" applyAlignment="1">
      <alignment horizontal="right" vertical="center" wrapText="1"/>
    </xf>
    <xf numFmtId="4" fontId="46" fillId="7" borderId="44" xfId="0" applyNumberFormat="1" applyFont="1" applyFill="1" applyBorder="1" applyAlignment="1">
      <alignment horizontal="right" vertical="center" wrapText="1"/>
    </xf>
    <xf numFmtId="0" fontId="47" fillId="0" borderId="0" xfId="0" applyFont="1" applyAlignment="1">
      <alignment vertical="center"/>
    </xf>
    <xf numFmtId="10" fontId="2" fillId="8" borderId="0" xfId="2" applyNumberFormat="1" applyFont="1" applyFill="1" applyBorder="1" applyAlignment="1">
      <alignment horizontal="right" vertical="center" wrapText="1"/>
    </xf>
    <xf numFmtId="10" fontId="2" fillId="9" borderId="0" xfId="2" applyNumberFormat="1" applyFont="1" applyFill="1" applyBorder="1" applyAlignment="1">
      <alignment horizontal="right" vertical="center" wrapText="1"/>
    </xf>
    <xf numFmtId="4" fontId="3" fillId="2" borderId="13" xfId="0" applyNumberFormat="1" applyFont="1" applyFill="1" applyBorder="1" applyAlignment="1">
      <alignment horizontal="right" vertical="center" wrapText="1"/>
    </xf>
    <xf numFmtId="4" fontId="3" fillId="9" borderId="1" xfId="0" applyNumberFormat="1" applyFont="1" applyFill="1" applyBorder="1" applyAlignment="1">
      <alignment horizontal="righ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5" fillId="4" borderId="0" xfId="0" applyFont="1" applyFill="1" applyAlignment="1">
      <alignment horizontal="right" vertical="center" wrapText="1"/>
    </xf>
    <xf numFmtId="0" fontId="15" fillId="4" borderId="0" xfId="0" applyFont="1" applyFill="1" applyAlignment="1">
      <alignment horizontal="left" vertical="center" wrapText="1"/>
    </xf>
    <xf numFmtId="10" fontId="49" fillId="2" borderId="0" xfId="2" applyNumberFormat="1" applyFont="1" applyFill="1" applyBorder="1" applyAlignment="1">
      <alignment horizontal="right" vertical="center" wrapText="1"/>
    </xf>
    <xf numFmtId="0" fontId="50" fillId="0" borderId="14" xfId="0" applyFont="1" applyBorder="1" applyAlignment="1">
      <alignment horizontal="left" vertical="center" wrapText="1"/>
    </xf>
    <xf numFmtId="0" fontId="51" fillId="0" borderId="1" xfId="0" applyFont="1" applyBorder="1" applyAlignment="1">
      <alignment horizontal="left" vertical="center" wrapText="1"/>
    </xf>
    <xf numFmtId="0" fontId="50" fillId="0" borderId="1" xfId="0" applyFont="1" applyBorder="1" applyAlignment="1">
      <alignment horizontal="left" vertical="center" wrapText="1"/>
    </xf>
    <xf numFmtId="0" fontId="50" fillId="0" borderId="1" xfId="0" applyFont="1" applyBorder="1" applyAlignment="1">
      <alignment horizontal="center" vertical="center" wrapText="1"/>
    </xf>
    <xf numFmtId="4" fontId="50" fillId="0" borderId="1" xfId="0" applyNumberFormat="1" applyFont="1" applyBorder="1" applyAlignment="1">
      <alignment horizontal="right" vertical="center" wrapText="1"/>
    </xf>
    <xf numFmtId="4" fontId="50" fillId="0" borderId="13" xfId="0" applyNumberFormat="1" applyFont="1" applyBorder="1" applyAlignment="1">
      <alignment horizontal="right" vertical="center" wrapText="1"/>
    </xf>
    <xf numFmtId="4" fontId="50" fillId="0" borderId="0" xfId="0" applyNumberFormat="1" applyFont="1" applyAlignment="1">
      <alignment horizontal="right" vertical="top" wrapText="1"/>
    </xf>
    <xf numFmtId="0" fontId="52" fillId="0" borderId="0" xfId="0" applyFont="1"/>
    <xf numFmtId="4" fontId="3" fillId="0" borderId="0" xfId="0" applyNumberFormat="1" applyFont="1" applyAlignment="1">
      <alignment horizontal="right" vertical="top" wrapText="1"/>
    </xf>
    <xf numFmtId="10" fontId="2" fillId="10" borderId="0" xfId="2" applyNumberFormat="1" applyFont="1" applyFill="1" applyBorder="1" applyAlignment="1">
      <alignment horizontal="right" vertical="center" wrapText="1"/>
    </xf>
    <xf numFmtId="0" fontId="36" fillId="0" borderId="1" xfId="0" applyFont="1" applyBorder="1" applyAlignment="1">
      <alignment horizontal="left" vertical="top" wrapText="1"/>
    </xf>
    <xf numFmtId="0" fontId="20" fillId="0" borderId="0" xfId="7"/>
    <xf numFmtId="0" fontId="54" fillId="0" borderId="0" xfId="5" applyFont="1"/>
    <xf numFmtId="0" fontId="22" fillId="0" borderId="0" xfId="5" applyFont="1"/>
    <xf numFmtId="0" fontId="23" fillId="0" borderId="15" xfId="5" applyFont="1" applyBorder="1" applyAlignment="1">
      <alignment horizontal="center" vertical="center"/>
    </xf>
    <xf numFmtId="0" fontId="23" fillId="0" borderId="0" xfId="5" applyFont="1" applyAlignment="1">
      <alignment wrapText="1"/>
    </xf>
    <xf numFmtId="0" fontId="23" fillId="0" borderId="0" xfId="5" applyFont="1"/>
    <xf numFmtId="0" fontId="23" fillId="0" borderId="2" xfId="5" applyFont="1" applyBorder="1" applyAlignment="1">
      <alignment horizontal="center"/>
    </xf>
    <xf numFmtId="0" fontId="23" fillId="0" borderId="0" xfId="5" applyFont="1" applyAlignment="1">
      <alignment horizontal="center"/>
    </xf>
    <xf numFmtId="0" fontId="23" fillId="0" borderId="3" xfId="5" applyFont="1" applyBorder="1" applyAlignment="1">
      <alignment horizontal="center"/>
    </xf>
    <xf numFmtId="0" fontId="33" fillId="0" borderId="0" xfId="5" applyFont="1" applyAlignment="1">
      <alignment horizontal="center"/>
    </xf>
    <xf numFmtId="0" fontId="33" fillId="0" borderId="14" xfId="7" applyFont="1" applyBorder="1" applyAlignment="1">
      <alignment horizontal="center" vertical="center"/>
    </xf>
    <xf numFmtId="0" fontId="33" fillId="0" borderId="1" xfId="7" applyFont="1" applyBorder="1" applyAlignment="1">
      <alignment horizontal="center" vertical="center"/>
    </xf>
    <xf numFmtId="0" fontId="24" fillId="0" borderId="1" xfId="7" applyFont="1" applyBorder="1" applyAlignment="1" applyProtection="1">
      <alignment horizontal="center" vertical="center" wrapText="1"/>
      <protection hidden="1"/>
    </xf>
    <xf numFmtId="0" fontId="29" fillId="0" borderId="1" xfId="7" applyFont="1" applyBorder="1" applyAlignment="1">
      <alignment horizontal="center" vertical="center" wrapText="1"/>
    </xf>
    <xf numFmtId="0" fontId="55" fillId="0" borderId="13" xfId="7" applyFont="1" applyBorder="1" applyAlignment="1">
      <alignment horizontal="center" vertical="center" wrapText="1"/>
    </xf>
    <xf numFmtId="0" fontId="41" fillId="0" borderId="0" xfId="7" applyFont="1" applyAlignment="1" applyProtection="1">
      <alignment horizontal="center" vertical="center" wrapText="1"/>
      <protection hidden="1"/>
    </xf>
    <xf numFmtId="0" fontId="56" fillId="0" borderId="14" xfId="7" applyFont="1" applyBorder="1" applyAlignment="1">
      <alignment horizontal="center" vertical="center"/>
    </xf>
    <xf numFmtId="0" fontId="56" fillId="0" borderId="1" xfId="7" applyFont="1" applyBorder="1" applyAlignment="1">
      <alignment horizontal="left" vertical="center" wrapText="1"/>
    </xf>
    <xf numFmtId="0" fontId="9" fillId="0" borderId="1" xfId="7" applyFont="1" applyBorder="1" applyAlignment="1">
      <alignment horizontal="center" vertical="center"/>
    </xf>
    <xf numFmtId="1" fontId="9" fillId="0" borderId="1" xfId="7" applyNumberFormat="1" applyFont="1" applyBorder="1" applyAlignment="1">
      <alignment horizontal="center" vertical="center"/>
    </xf>
    <xf numFmtId="2" fontId="9" fillId="0" borderId="1" xfId="7" applyNumberFormat="1" applyFont="1" applyBorder="1" applyAlignment="1" applyProtection="1">
      <alignment horizontal="center" vertical="center"/>
      <protection hidden="1"/>
    </xf>
    <xf numFmtId="4" fontId="9" fillId="0" borderId="1" xfId="7" applyNumberFormat="1" applyFont="1" applyBorder="1" applyAlignment="1" applyProtection="1">
      <alignment horizontal="center" vertical="center"/>
      <protection hidden="1"/>
    </xf>
    <xf numFmtId="171" fontId="57" fillId="0" borderId="1" xfId="7" applyNumberFormat="1" applyFont="1" applyBorder="1" applyAlignment="1">
      <alignment horizontal="center"/>
    </xf>
    <xf numFmtId="171" fontId="57" fillId="0" borderId="13" xfId="7" applyNumberFormat="1" applyFont="1" applyBorder="1" applyAlignment="1">
      <alignment horizontal="center"/>
    </xf>
    <xf numFmtId="0" fontId="56" fillId="0" borderId="1" xfId="7" applyFont="1" applyBorder="1" applyAlignment="1">
      <alignment horizontal="left" vertical="center"/>
    </xf>
    <xf numFmtId="172" fontId="20" fillId="0" borderId="0" xfId="7" applyNumberFormat="1"/>
    <xf numFmtId="0" fontId="56" fillId="0" borderId="1" xfId="7" applyFont="1" applyBorder="1"/>
    <xf numFmtId="4" fontId="9" fillId="0" borderId="1" xfId="7" applyNumberFormat="1" applyFont="1" applyBorder="1" applyAlignment="1">
      <alignment horizontal="center"/>
    </xf>
    <xf numFmtId="4" fontId="23" fillId="0" borderId="1" xfId="7" applyNumberFormat="1" applyFont="1" applyBorder="1" applyAlignment="1" applyProtection="1">
      <alignment horizontal="center" vertical="center"/>
      <protection hidden="1"/>
    </xf>
    <xf numFmtId="4" fontId="23" fillId="0" borderId="13" xfId="7" applyNumberFormat="1" applyFont="1" applyBorder="1" applyAlignment="1" applyProtection="1">
      <alignment horizontal="center" vertical="center"/>
      <protection hidden="1"/>
    </xf>
    <xf numFmtId="4" fontId="20" fillId="0" borderId="0" xfId="7" applyNumberFormat="1"/>
    <xf numFmtId="49" fontId="56" fillId="0" borderId="0" xfId="5" applyNumberFormat="1" applyFont="1" applyAlignment="1">
      <alignment horizontal="center" vertical="center"/>
    </xf>
    <xf numFmtId="1" fontId="20" fillId="0" borderId="3" xfId="7" applyNumberFormat="1" applyBorder="1"/>
    <xf numFmtId="165" fontId="20" fillId="0" borderId="0" xfId="7" applyNumberFormat="1"/>
    <xf numFmtId="0" fontId="23" fillId="0" borderId="0" xfId="5" applyFont="1" applyAlignment="1">
      <alignment horizontal="center" vertical="center"/>
    </xf>
    <xf numFmtId="0" fontId="20" fillId="0" borderId="3" xfId="7" applyBorder="1"/>
    <xf numFmtId="0" fontId="33" fillId="0" borderId="14" xfId="5" applyFont="1" applyBorder="1" applyAlignment="1">
      <alignment horizontal="center" vertical="center"/>
    </xf>
    <xf numFmtId="0" fontId="33" fillId="0" borderId="1" xfId="5" applyFont="1" applyBorder="1" applyAlignment="1">
      <alignment horizontal="center" vertical="center"/>
    </xf>
    <xf numFmtId="0" fontId="33" fillId="0" borderId="1" xfId="5" applyFont="1" applyBorder="1" applyAlignment="1">
      <alignment horizontal="center" vertical="center" wrapText="1"/>
    </xf>
    <xf numFmtId="0" fontId="33" fillId="0" borderId="1" xfId="7" applyFont="1" applyBorder="1" applyAlignment="1" applyProtection="1">
      <alignment horizontal="center" vertical="center" wrapText="1"/>
      <protection hidden="1"/>
    </xf>
    <xf numFmtId="0" fontId="9" fillId="0" borderId="14" xfId="5" applyBorder="1" applyAlignment="1">
      <alignment horizontal="center"/>
    </xf>
    <xf numFmtId="0" fontId="9" fillId="0" borderId="1" xfId="5" applyBorder="1" applyAlignment="1">
      <alignment horizontal="left"/>
    </xf>
    <xf numFmtId="0" fontId="9" fillId="0" borderId="1" xfId="5" applyBorder="1" applyAlignment="1">
      <alignment horizontal="center"/>
    </xf>
    <xf numFmtId="3" fontId="9" fillId="0" borderId="1" xfId="5" applyNumberFormat="1" applyBorder="1" applyAlignment="1">
      <alignment horizontal="center"/>
    </xf>
    <xf numFmtId="4" fontId="9" fillId="0" borderId="1" xfId="5" applyNumberFormat="1" applyBorder="1" applyAlignment="1">
      <alignment horizontal="center"/>
    </xf>
    <xf numFmtId="4" fontId="9" fillId="0" borderId="0" xfId="5" applyNumberFormat="1" applyAlignment="1">
      <alignment horizontal="center"/>
    </xf>
    <xf numFmtId="4" fontId="23" fillId="0" borderId="1" xfId="5" applyNumberFormat="1" applyFont="1" applyBorder="1" applyAlignment="1">
      <alignment horizontal="center"/>
    </xf>
    <xf numFmtId="4" fontId="23" fillId="0" borderId="0" xfId="5" applyNumberFormat="1" applyFont="1" applyAlignment="1">
      <alignment horizontal="center"/>
    </xf>
    <xf numFmtId="0" fontId="23" fillId="0" borderId="14" xfId="7" applyFont="1" applyBorder="1" applyAlignment="1">
      <alignment horizontal="center" vertical="center"/>
    </xf>
    <xf numFmtId="0" fontId="23" fillId="0" borderId="1" xfId="7" applyFont="1" applyBorder="1" applyAlignment="1">
      <alignment horizontal="center" vertical="center"/>
    </xf>
    <xf numFmtId="0" fontId="9" fillId="0" borderId="46" xfId="7" applyFont="1" applyBorder="1" applyAlignment="1" applyProtection="1">
      <alignment horizontal="center" vertical="center" wrapText="1"/>
      <protection hidden="1"/>
    </xf>
    <xf numFmtId="0" fontId="9" fillId="0" borderId="47" xfId="7" applyFont="1" applyBorder="1" applyAlignment="1">
      <alignment horizontal="center" vertical="center" wrapText="1"/>
    </xf>
    <xf numFmtId="0" fontId="9" fillId="0" borderId="48" xfId="7" applyFont="1" applyBorder="1" applyAlignment="1">
      <alignment horizontal="center" vertical="center" wrapText="1"/>
    </xf>
    <xf numFmtId="0" fontId="9" fillId="0" borderId="0" xfId="7" applyFont="1" applyAlignment="1">
      <alignment horizontal="center" vertical="center" wrapText="1"/>
    </xf>
    <xf numFmtId="0" fontId="9" fillId="0" borderId="14" xfId="7" applyFont="1" applyBorder="1" applyAlignment="1">
      <alignment horizontal="center" vertical="center"/>
    </xf>
    <xf numFmtId="0" fontId="9" fillId="0" borderId="1" xfId="7" applyFont="1" applyBorder="1" applyAlignment="1">
      <alignment horizontal="left" vertical="center" wrapText="1"/>
    </xf>
    <xf numFmtId="0" fontId="9" fillId="0" borderId="49" xfId="7" applyFont="1" applyBorder="1" applyAlignment="1" applyProtection="1">
      <alignment vertical="center" wrapText="1"/>
      <protection hidden="1"/>
    </xf>
    <xf numFmtId="2" fontId="9" fillId="0" borderId="0" xfId="7" applyNumberFormat="1" applyFont="1" applyAlignment="1">
      <alignment vertical="center" wrapText="1"/>
    </xf>
    <xf numFmtId="2" fontId="9" fillId="0" borderId="50" xfId="7" applyNumberFormat="1" applyFont="1" applyBorder="1" applyAlignment="1">
      <alignment vertical="center" wrapText="1"/>
    </xf>
    <xf numFmtId="2" fontId="23" fillId="0" borderId="50" xfId="7" applyNumberFormat="1" applyFont="1" applyBorder="1"/>
    <xf numFmtId="2" fontId="23" fillId="0" borderId="0" xfId="7" applyNumberFormat="1" applyFont="1"/>
    <xf numFmtId="0" fontId="9" fillId="0" borderId="0" xfId="5" applyAlignment="1">
      <alignment horizontal="center"/>
    </xf>
    <xf numFmtId="4" fontId="22" fillId="0" borderId="0" xfId="5" applyNumberFormat="1" applyFont="1" applyAlignment="1">
      <alignment horizontal="center" vertical="center"/>
    </xf>
    <xf numFmtId="0" fontId="22" fillId="0" borderId="0" xfId="5" applyFont="1" applyAlignment="1">
      <alignment horizontal="center" vertical="center"/>
    </xf>
    <xf numFmtId="4" fontId="23" fillId="0" borderId="1" xfId="5" applyNumberFormat="1" applyFont="1" applyBorder="1" applyAlignment="1">
      <alignment horizontal="center" vertical="center"/>
    </xf>
    <xf numFmtId="4" fontId="23" fillId="0" borderId="0" xfId="5" applyNumberFormat="1" applyFont="1" applyAlignment="1">
      <alignment horizontal="center" vertical="center"/>
    </xf>
    <xf numFmtId="0" fontId="9" fillId="0" borderId="0" xfId="7" applyFont="1" applyAlignment="1">
      <alignment horizontal="center"/>
    </xf>
    <xf numFmtId="0" fontId="33" fillId="0" borderId="0" xfId="7" applyFont="1" applyAlignment="1">
      <alignment horizontal="center" vertical="center"/>
    </xf>
    <xf numFmtId="0" fontId="33" fillId="0" borderId="2" xfId="7" applyFont="1" applyBorder="1" applyAlignment="1">
      <alignment horizontal="center" vertical="center"/>
    </xf>
    <xf numFmtId="0" fontId="33" fillId="0" borderId="0" xfId="7" applyFont="1" applyAlignment="1">
      <alignment horizontal="center" vertical="center" wrapText="1"/>
    </xf>
    <xf numFmtId="0" fontId="41" fillId="0" borderId="0" xfId="7" applyFont="1" applyAlignment="1">
      <alignment horizontal="center" vertical="center"/>
    </xf>
    <xf numFmtId="0" fontId="41" fillId="0" borderId="2" xfId="7" applyFont="1" applyBorder="1" applyAlignment="1">
      <alignment horizontal="center" vertical="center"/>
    </xf>
    <xf numFmtId="0" fontId="9" fillId="0" borderId="0" xfId="7" applyFont="1" applyAlignment="1">
      <alignment horizontal="left"/>
    </xf>
    <xf numFmtId="4" fontId="9" fillId="0" borderId="0" xfId="7" applyNumberFormat="1" applyFont="1" applyAlignment="1">
      <alignment horizontal="center"/>
    </xf>
    <xf numFmtId="3" fontId="9" fillId="0" borderId="0" xfId="7" applyNumberFormat="1" applyFont="1" applyAlignment="1">
      <alignment horizontal="center"/>
    </xf>
    <xf numFmtId="4" fontId="9" fillId="0" borderId="0" xfId="5" applyNumberFormat="1" applyAlignment="1">
      <alignment horizontal="center" vertical="center"/>
    </xf>
    <xf numFmtId="0" fontId="9" fillId="0" borderId="0" xfId="7" applyFont="1" applyAlignment="1">
      <alignment horizontal="left" wrapText="1"/>
    </xf>
    <xf numFmtId="4" fontId="9" fillId="0" borderId="0" xfId="7" applyNumberFormat="1" applyFont="1" applyAlignment="1">
      <alignment horizontal="center" vertical="center"/>
    </xf>
    <xf numFmtId="0" fontId="9" fillId="0" borderId="0" xfId="7" applyFont="1" applyAlignment="1">
      <alignment horizontal="center" vertical="center"/>
    </xf>
    <xf numFmtId="4" fontId="23" fillId="0" borderId="0" xfId="7" applyNumberFormat="1" applyFont="1" applyAlignment="1">
      <alignment horizontal="center"/>
    </xf>
    <xf numFmtId="4" fontId="20" fillId="0" borderId="3" xfId="7" applyNumberFormat="1" applyBorder="1"/>
    <xf numFmtId="0" fontId="22" fillId="0" borderId="0" xfId="7" applyFont="1" applyAlignment="1">
      <alignment horizontal="center"/>
    </xf>
    <xf numFmtId="0" fontId="24" fillId="0" borderId="0" xfId="7" applyFont="1" applyAlignment="1">
      <alignment horizontal="center" vertical="center" wrapText="1"/>
    </xf>
    <xf numFmtId="0" fontId="9" fillId="0" borderId="2" xfId="7" applyFont="1" applyBorder="1" applyAlignment="1">
      <alignment horizontal="center" vertical="center"/>
    </xf>
    <xf numFmtId="0" fontId="9" fillId="0" borderId="0" xfId="7" applyFont="1" applyAlignment="1">
      <alignment horizontal="left" vertical="center"/>
    </xf>
    <xf numFmtId="2" fontId="41" fillId="0" borderId="0" xfId="7" applyNumberFormat="1" applyFont="1" applyAlignment="1">
      <alignment horizontal="center" vertical="center" wrapText="1"/>
    </xf>
    <xf numFmtId="2" fontId="9" fillId="0" borderId="0" xfId="7" applyNumberFormat="1" applyFont="1" applyAlignment="1">
      <alignment horizontal="center" vertical="center"/>
    </xf>
    <xf numFmtId="0" fontId="24" fillId="0" borderId="1" xfId="7" applyFont="1" applyBorder="1" applyAlignment="1">
      <alignment horizontal="center" vertical="center" wrapText="1"/>
    </xf>
    <xf numFmtId="0" fontId="42" fillId="0" borderId="0" xfId="7" applyFont="1" applyAlignment="1">
      <alignment horizontal="center" vertical="center" wrapText="1"/>
    </xf>
    <xf numFmtId="0" fontId="41" fillId="0" borderId="14" xfId="7" applyFont="1" applyBorder="1" applyAlignment="1">
      <alignment horizontal="center" vertical="center"/>
    </xf>
    <xf numFmtId="0" fontId="41" fillId="0" borderId="1" xfId="7" applyFont="1" applyBorder="1" applyAlignment="1">
      <alignment horizontal="left" vertical="top" wrapText="1"/>
    </xf>
    <xf numFmtId="4" fontId="9" fillId="0" borderId="1" xfId="5" applyNumberFormat="1" applyBorder="1" applyAlignment="1">
      <alignment horizontal="center" vertical="center"/>
    </xf>
    <xf numFmtId="0" fontId="41" fillId="0" borderId="1" xfId="7" applyFont="1" applyBorder="1" applyAlignment="1">
      <alignment horizontal="center" vertical="center"/>
    </xf>
    <xf numFmtId="0" fontId="41" fillId="0" borderId="1" xfId="7" applyFont="1" applyBorder="1" applyAlignment="1">
      <alignment horizontal="center" vertical="center" wrapText="1"/>
    </xf>
    <xf numFmtId="1" fontId="9" fillId="0" borderId="1" xfId="7" applyNumberFormat="1" applyFont="1" applyBorder="1" applyAlignment="1">
      <alignment horizontal="center"/>
    </xf>
    <xf numFmtId="0" fontId="60" fillId="0" borderId="1" xfId="7" applyFont="1" applyBorder="1" applyAlignment="1">
      <alignment horizontal="left" vertical="center" wrapText="1"/>
    </xf>
    <xf numFmtId="0" fontId="20" fillId="0" borderId="1" xfId="7" applyBorder="1"/>
    <xf numFmtId="0" fontId="30" fillId="0" borderId="0" xfId="5" applyFont="1" applyAlignment="1">
      <alignment horizontal="center" vertical="center"/>
    </xf>
    <xf numFmtId="0" fontId="41" fillId="0" borderId="0" xfId="5" applyFont="1" applyAlignment="1">
      <alignment horizontal="center" vertical="center"/>
    </xf>
    <xf numFmtId="0" fontId="41" fillId="0" borderId="14" xfId="7" applyFont="1" applyBorder="1" applyAlignment="1">
      <alignment horizontal="center"/>
    </xf>
    <xf numFmtId="4" fontId="56" fillId="0" borderId="0" xfId="5" applyNumberFormat="1" applyFont="1" applyAlignment="1">
      <alignment horizontal="center"/>
    </xf>
    <xf numFmtId="168" fontId="20" fillId="0" borderId="3" xfId="7" applyNumberFormat="1" applyBorder="1"/>
    <xf numFmtId="168" fontId="20" fillId="0" borderId="0" xfId="7" applyNumberFormat="1"/>
    <xf numFmtId="4" fontId="61" fillId="0" borderId="0" xfId="5" applyNumberFormat="1" applyFont="1" applyAlignment="1">
      <alignment horizontal="center"/>
    </xf>
    <xf numFmtId="4" fontId="22" fillId="0" borderId="0" xfId="5" applyNumberFormat="1" applyFont="1" applyAlignment="1">
      <alignment horizontal="center"/>
    </xf>
    <xf numFmtId="0" fontId="23" fillId="0" borderId="1" xfId="5" applyFont="1" applyBorder="1" applyAlignment="1">
      <alignment horizontal="center" vertical="center"/>
    </xf>
    <xf numFmtId="0" fontId="9" fillId="0" borderId="56" xfId="5" applyBorder="1" applyAlignment="1">
      <alignment horizontal="center"/>
    </xf>
    <xf numFmtId="2" fontId="9" fillId="0" borderId="56" xfId="5" applyNumberFormat="1" applyBorder="1" applyAlignment="1">
      <alignment horizontal="center"/>
    </xf>
    <xf numFmtId="4" fontId="23" fillId="0" borderId="8" xfId="5" applyNumberFormat="1" applyFont="1" applyBorder="1" applyAlignment="1">
      <alignment horizontal="center"/>
    </xf>
    <xf numFmtId="0" fontId="20" fillId="0" borderId="9" xfId="7" applyBorder="1"/>
    <xf numFmtId="2" fontId="9" fillId="0" borderId="0" xfId="5" applyNumberFormat="1" applyAlignment="1">
      <alignment horizontal="center"/>
    </xf>
    <xf numFmtId="0" fontId="62" fillId="0" borderId="0" xfId="7" applyFont="1"/>
    <xf numFmtId="0" fontId="42" fillId="0" borderId="0" xfId="7" applyFont="1" applyAlignment="1">
      <alignment horizontal="right"/>
    </xf>
    <xf numFmtId="0" fontId="64" fillId="0" borderId="0" xfId="7" applyFont="1" applyAlignment="1">
      <alignment horizontal="right"/>
    </xf>
    <xf numFmtId="0" fontId="65" fillId="0" borderId="0" xfId="7" applyFont="1" applyAlignment="1">
      <alignment horizontal="center"/>
    </xf>
    <xf numFmtId="4" fontId="66" fillId="0" borderId="0" xfId="7" applyNumberFormat="1" applyFont="1"/>
    <xf numFmtId="0" fontId="66" fillId="0" borderId="0" xfId="7" applyFont="1" applyAlignment="1">
      <alignment horizontal="center"/>
    </xf>
    <xf numFmtId="0" fontId="67" fillId="0" borderId="0" xfId="5" applyFont="1"/>
    <xf numFmtId="0" fontId="20" fillId="0" borderId="0" xfId="7" applyAlignment="1">
      <alignment horizontal="center"/>
    </xf>
    <xf numFmtId="0" fontId="13" fillId="2" borderId="4" xfId="0" applyFont="1" applyFill="1" applyBorder="1" applyAlignment="1">
      <alignment horizontal="left" vertical="center"/>
    </xf>
    <xf numFmtId="0" fontId="13" fillId="2" borderId="5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left" vertical="center"/>
    </xf>
    <xf numFmtId="0" fontId="31" fillId="2" borderId="10" xfId="0" applyFont="1" applyFill="1" applyBorder="1" applyAlignment="1">
      <alignment horizontal="left" vertical="top" wrapText="1"/>
    </xf>
    <xf numFmtId="0" fontId="31" fillId="2" borderId="11" xfId="0" applyFont="1" applyFill="1" applyBorder="1" applyAlignment="1">
      <alignment horizontal="left" vertical="top" wrapText="1"/>
    </xf>
    <xf numFmtId="0" fontId="31" fillId="2" borderId="12" xfId="0" applyFont="1" applyFill="1" applyBorder="1" applyAlignment="1">
      <alignment horizontal="left" vertical="top" wrapText="1"/>
    </xf>
    <xf numFmtId="0" fontId="11" fillId="0" borderId="2" xfId="0" applyFont="1" applyBorder="1" applyAlignment="1">
      <alignment horizontal="left" wrapText="1"/>
    </xf>
    <xf numFmtId="0" fontId="11" fillId="0" borderId="0" xfId="0" applyFont="1" applyAlignment="1">
      <alignment horizontal="left" wrapText="1"/>
    </xf>
    <xf numFmtId="0" fontId="11" fillId="0" borderId="3" xfId="0" applyFont="1" applyBorder="1" applyAlignment="1">
      <alignment horizontal="left" wrapText="1"/>
    </xf>
    <xf numFmtId="49" fontId="11" fillId="0" borderId="2" xfId="0" applyNumberFormat="1" applyFont="1" applyBorder="1" applyAlignment="1">
      <alignment horizontal="left" wrapText="1"/>
    </xf>
    <xf numFmtId="49" fontId="11" fillId="0" borderId="0" xfId="0" applyNumberFormat="1" applyFont="1" applyAlignment="1">
      <alignment horizontal="left" wrapText="1"/>
    </xf>
    <xf numFmtId="49" fontId="11" fillId="0" borderId="3" xfId="0" applyNumberFormat="1" applyFont="1" applyBorder="1" applyAlignment="1">
      <alignment horizontal="left" wrapText="1"/>
    </xf>
    <xf numFmtId="0" fontId="5" fillId="3" borderId="0" xfId="0" applyFont="1" applyFill="1" applyAlignment="1">
      <alignment horizontal="left" vertical="center"/>
    </xf>
    <xf numFmtId="0" fontId="39" fillId="0" borderId="8" xfId="0" applyFon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 wrapText="1"/>
    </xf>
    <xf numFmtId="4" fontId="24" fillId="2" borderId="29" xfId="4" applyNumberFormat="1" applyFont="1" applyFill="1" applyBorder="1" applyAlignment="1">
      <alignment horizontal="left" vertical="center" wrapText="1"/>
    </xf>
    <xf numFmtId="4" fontId="24" fillId="2" borderId="30" xfId="4" applyNumberFormat="1" applyFont="1" applyFill="1" applyBorder="1" applyAlignment="1">
      <alignment horizontal="left" vertical="center" wrapText="1"/>
    </xf>
    <xf numFmtId="0" fontId="39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39" fillId="4" borderId="0" xfId="0" applyFont="1" applyFill="1" applyAlignment="1">
      <alignment horizontal="center" vertical="center" wrapText="1"/>
    </xf>
    <xf numFmtId="0" fontId="28" fillId="0" borderId="0" xfId="4" applyFont="1" applyAlignment="1">
      <alignment horizontal="center" vertical="center"/>
    </xf>
    <xf numFmtId="0" fontId="29" fillId="0" borderId="0" xfId="4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top" wrapText="1"/>
    </xf>
    <xf numFmtId="0" fontId="26" fillId="0" borderId="0" xfId="4" applyFont="1" applyAlignment="1">
      <alignment horizontal="center" vertical="center"/>
    </xf>
    <xf numFmtId="0" fontId="27" fillId="0" borderId="0" xfId="4" applyFont="1" applyAlignment="1">
      <alignment horizontal="center" vertical="center"/>
    </xf>
    <xf numFmtId="0" fontId="22" fillId="0" borderId="0" xfId="0" applyFont="1" applyAlignment="1">
      <alignment horizontal="right"/>
    </xf>
    <xf numFmtId="0" fontId="23" fillId="0" borderId="0" xfId="4" applyFont="1" applyAlignment="1">
      <alignment horizontal="right" vertical="center" wrapText="1"/>
    </xf>
    <xf numFmtId="0" fontId="23" fillId="2" borderId="18" xfId="4" applyFont="1" applyFill="1" applyBorder="1" applyAlignment="1">
      <alignment horizontal="center" vertical="center" wrapText="1"/>
    </xf>
    <xf numFmtId="0" fontId="23" fillId="2" borderId="19" xfId="4" applyFont="1" applyFill="1" applyBorder="1" applyAlignment="1">
      <alignment horizontal="center" vertical="center" wrapText="1"/>
    </xf>
    <xf numFmtId="0" fontId="23" fillId="2" borderId="21" xfId="4" applyFont="1" applyFill="1" applyBorder="1" applyAlignment="1">
      <alignment horizontal="center" vertical="center" wrapText="1"/>
    </xf>
    <xf numFmtId="0" fontId="23" fillId="2" borderId="24" xfId="4" applyFont="1" applyFill="1" applyBorder="1" applyAlignment="1">
      <alignment horizontal="center" vertical="center" wrapText="1"/>
    </xf>
    <xf numFmtId="0" fontId="23" fillId="2" borderId="20" xfId="4" applyFont="1" applyFill="1" applyBorder="1" applyAlignment="1">
      <alignment horizontal="center" vertical="center" wrapText="1"/>
    </xf>
    <xf numFmtId="49" fontId="24" fillId="2" borderId="22" xfId="4" applyNumberFormat="1" applyFont="1" applyFill="1" applyBorder="1" applyAlignment="1">
      <alignment horizontal="left" vertical="center" wrapText="1"/>
    </xf>
    <xf numFmtId="49" fontId="24" fillId="2" borderId="25" xfId="4" applyNumberFormat="1" applyFont="1" applyFill="1" applyBorder="1" applyAlignment="1">
      <alignment horizontal="left" vertical="center" wrapText="1"/>
    </xf>
    <xf numFmtId="49" fontId="24" fillId="2" borderId="23" xfId="4" applyNumberFormat="1" applyFont="1" applyFill="1" applyBorder="1" applyAlignment="1">
      <alignment horizontal="left" vertical="center" wrapText="1"/>
    </xf>
    <xf numFmtId="0" fontId="22" fillId="2" borderId="4" xfId="4" applyFont="1" applyFill="1" applyBorder="1" applyAlignment="1">
      <alignment horizontal="left" vertical="center" wrapText="1"/>
    </xf>
    <xf numFmtId="0" fontId="22" fillId="2" borderId="5" xfId="4" applyFont="1" applyFill="1" applyBorder="1" applyAlignment="1">
      <alignment horizontal="left" vertical="center" wrapText="1"/>
    </xf>
    <xf numFmtId="0" fontId="22" fillId="2" borderId="2" xfId="4" applyFont="1" applyFill="1" applyBorder="1" applyAlignment="1">
      <alignment horizontal="left" vertical="center" wrapText="1"/>
    </xf>
    <xf numFmtId="0" fontId="22" fillId="2" borderId="0" xfId="4" applyFont="1" applyFill="1" applyAlignment="1">
      <alignment horizontal="left" vertical="center" wrapText="1"/>
    </xf>
    <xf numFmtId="0" fontId="21" fillId="0" borderId="0" xfId="4" applyFont="1" applyAlignment="1">
      <alignment horizontal="right" vertical="center" wrapText="1"/>
    </xf>
    <xf numFmtId="0" fontId="22" fillId="0" borderId="0" xfId="4" applyFont="1" applyAlignment="1">
      <alignment horizontal="right" vertical="center" wrapText="1"/>
    </xf>
    <xf numFmtId="4" fontId="23" fillId="5" borderId="32" xfId="5" applyNumberFormat="1" applyFont="1" applyFill="1" applyBorder="1" applyAlignment="1">
      <alignment horizontal="center" vertical="center"/>
    </xf>
    <xf numFmtId="0" fontId="23" fillId="5" borderId="35" xfId="5" applyFont="1" applyFill="1" applyBorder="1" applyAlignment="1">
      <alignment horizontal="center" vertical="center"/>
    </xf>
    <xf numFmtId="0" fontId="23" fillId="5" borderId="38" xfId="5" applyFont="1" applyFill="1" applyBorder="1" applyAlignment="1">
      <alignment horizontal="center" vertical="center"/>
    </xf>
    <xf numFmtId="4" fontId="23" fillId="5" borderId="33" xfId="5" applyNumberFormat="1" applyFont="1" applyFill="1" applyBorder="1" applyAlignment="1">
      <alignment horizontal="center" vertical="center"/>
    </xf>
    <xf numFmtId="4" fontId="23" fillId="5" borderId="34" xfId="5" applyNumberFormat="1" applyFont="1" applyFill="1" applyBorder="1" applyAlignment="1">
      <alignment horizontal="center" vertical="center"/>
    </xf>
    <xf numFmtId="0" fontId="23" fillId="0" borderId="2" xfId="4" applyFont="1" applyBorder="1" applyAlignment="1">
      <alignment horizontal="right" vertical="center" wrapText="1"/>
    </xf>
    <xf numFmtId="0" fontId="23" fillId="0" borderId="3" xfId="4" applyFont="1" applyBorder="1" applyAlignment="1">
      <alignment horizontal="right" vertical="center" wrapText="1"/>
    </xf>
    <xf numFmtId="0" fontId="22" fillId="0" borderId="4" xfId="0" applyFont="1" applyBorder="1" applyAlignment="1">
      <alignment horizontal="right"/>
    </xf>
    <xf numFmtId="0" fontId="22" fillId="0" borderId="5" xfId="0" applyFont="1" applyBorder="1" applyAlignment="1">
      <alignment horizontal="right"/>
    </xf>
    <xf numFmtId="0" fontId="22" fillId="0" borderId="6" xfId="0" applyFont="1" applyBorder="1" applyAlignment="1">
      <alignment horizontal="right"/>
    </xf>
    <xf numFmtId="0" fontId="22" fillId="0" borderId="2" xfId="0" applyFont="1" applyBorder="1" applyAlignment="1">
      <alignment horizontal="right"/>
    </xf>
    <xf numFmtId="0" fontId="22" fillId="0" borderId="3" xfId="0" applyFont="1" applyBorder="1" applyAlignment="1">
      <alignment horizontal="right"/>
    </xf>
    <xf numFmtId="0" fontId="21" fillId="0" borderId="2" xfId="4" applyFont="1" applyBorder="1" applyAlignment="1">
      <alignment horizontal="right" vertical="center" wrapText="1"/>
    </xf>
    <xf numFmtId="0" fontId="21" fillId="0" borderId="3" xfId="4" applyFont="1" applyBorder="1" applyAlignment="1">
      <alignment horizontal="right" vertical="center" wrapText="1"/>
    </xf>
    <xf numFmtId="0" fontId="22" fillId="0" borderId="2" xfId="4" applyFont="1" applyBorder="1" applyAlignment="1">
      <alignment horizontal="right" vertical="center" wrapText="1"/>
    </xf>
    <xf numFmtId="0" fontId="22" fillId="0" borderId="3" xfId="4" applyFont="1" applyBorder="1" applyAlignment="1">
      <alignment horizontal="right" vertical="center" wrapText="1"/>
    </xf>
    <xf numFmtId="0" fontId="40" fillId="5" borderId="7" xfId="5" applyFont="1" applyFill="1" applyBorder="1" applyAlignment="1">
      <alignment horizontal="right"/>
    </xf>
    <xf numFmtId="0" fontId="40" fillId="5" borderId="8" xfId="5" applyFont="1" applyFill="1" applyBorder="1" applyAlignment="1">
      <alignment horizontal="right"/>
    </xf>
    <xf numFmtId="0" fontId="40" fillId="5" borderId="9" xfId="5" applyFont="1" applyFill="1" applyBorder="1" applyAlignment="1">
      <alignment horizontal="right"/>
    </xf>
    <xf numFmtId="0" fontId="33" fillId="5" borderId="31" xfId="5" applyFont="1" applyFill="1" applyBorder="1" applyAlignment="1">
      <alignment horizontal="center" vertical="center"/>
    </xf>
    <xf numFmtId="0" fontId="33" fillId="5" borderId="36" xfId="5" applyFont="1" applyFill="1" applyBorder="1" applyAlignment="1">
      <alignment horizontal="center" vertical="center"/>
    </xf>
    <xf numFmtId="0" fontId="23" fillId="5" borderId="32" xfId="5" applyFont="1" applyFill="1" applyBorder="1" applyAlignment="1">
      <alignment horizontal="center" vertical="center"/>
    </xf>
    <xf numFmtId="0" fontId="23" fillId="5" borderId="37" xfId="5" applyFont="1" applyFill="1" applyBorder="1" applyAlignment="1">
      <alignment horizontal="center" vertical="center"/>
    </xf>
    <xf numFmtId="0" fontId="33" fillId="2" borderId="18" xfId="4" applyFont="1" applyFill="1" applyBorder="1" applyAlignment="1">
      <alignment horizontal="center" vertical="center" wrapText="1"/>
    </xf>
    <xf numFmtId="0" fontId="33" fillId="2" borderId="19" xfId="4" applyFont="1" applyFill="1" applyBorder="1" applyAlignment="1">
      <alignment horizontal="center" vertical="center" wrapText="1"/>
    </xf>
    <xf numFmtId="0" fontId="33" fillId="2" borderId="21" xfId="4" applyFont="1" applyFill="1" applyBorder="1" applyAlignment="1">
      <alignment horizontal="center" vertical="center" wrapText="1"/>
    </xf>
    <xf numFmtId="0" fontId="33" fillId="2" borderId="24" xfId="4" applyFont="1" applyFill="1" applyBorder="1" applyAlignment="1">
      <alignment horizontal="center" vertical="center" wrapText="1"/>
    </xf>
    <xf numFmtId="0" fontId="33" fillId="2" borderId="20" xfId="4" applyFont="1" applyFill="1" applyBorder="1" applyAlignment="1">
      <alignment horizontal="center" vertical="center" wrapText="1"/>
    </xf>
    <xf numFmtId="0" fontId="43" fillId="2" borderId="4" xfId="4" applyFont="1" applyFill="1" applyBorder="1" applyAlignment="1">
      <alignment horizontal="left" vertical="center" wrapText="1"/>
    </xf>
    <xf numFmtId="0" fontId="43" fillId="2" borderId="5" xfId="4" applyFont="1" applyFill="1" applyBorder="1" applyAlignment="1">
      <alignment horizontal="left" vertical="center" wrapText="1"/>
    </xf>
    <xf numFmtId="0" fontId="43" fillId="2" borderId="2" xfId="4" applyFont="1" applyFill="1" applyBorder="1" applyAlignment="1">
      <alignment horizontal="left" vertical="center" wrapText="1"/>
    </xf>
    <xf numFmtId="0" fontId="43" fillId="2" borderId="0" xfId="4" applyFont="1" applyFill="1" applyAlignment="1">
      <alignment horizontal="left" vertical="center" wrapText="1"/>
    </xf>
    <xf numFmtId="4" fontId="24" fillId="2" borderId="27" xfId="4" applyNumberFormat="1" applyFont="1" applyFill="1" applyBorder="1" applyAlignment="1">
      <alignment horizontal="right" vertical="center" wrapText="1"/>
    </xf>
    <xf numFmtId="4" fontId="24" fillId="2" borderId="28" xfId="4" applyNumberFormat="1" applyFont="1" applyFill="1" applyBorder="1" applyAlignment="1">
      <alignment horizontal="right" vertical="center" wrapText="1"/>
    </xf>
    <xf numFmtId="4" fontId="24" fillId="2" borderId="29" xfId="4" applyNumberFormat="1" applyFont="1" applyFill="1" applyBorder="1" applyAlignment="1">
      <alignment horizontal="right" vertical="center" wrapText="1"/>
    </xf>
    <xf numFmtId="4" fontId="24" fillId="2" borderId="30" xfId="4" applyNumberFormat="1" applyFont="1" applyFill="1" applyBorder="1" applyAlignment="1">
      <alignment horizontal="right" vertical="center" wrapText="1"/>
    </xf>
    <xf numFmtId="49" fontId="24" fillId="2" borderId="22" xfId="4" applyNumberFormat="1" applyFont="1" applyFill="1" applyBorder="1" applyAlignment="1">
      <alignment horizontal="right" vertical="center" wrapText="1"/>
    </xf>
    <xf numFmtId="49" fontId="24" fillId="2" borderId="25" xfId="4" applyNumberFormat="1" applyFont="1" applyFill="1" applyBorder="1" applyAlignment="1">
      <alignment horizontal="right" vertical="center" wrapText="1"/>
    </xf>
    <xf numFmtId="49" fontId="24" fillId="2" borderId="23" xfId="4" applyNumberFormat="1" applyFont="1" applyFill="1" applyBorder="1" applyAlignment="1">
      <alignment horizontal="right" vertical="center" wrapText="1"/>
    </xf>
    <xf numFmtId="0" fontId="23" fillId="0" borderId="14" xfId="5" applyFont="1" applyBorder="1" applyAlignment="1">
      <alignment horizontal="center" vertical="center"/>
    </xf>
    <xf numFmtId="0" fontId="23" fillId="0" borderId="1" xfId="5" applyFont="1" applyBorder="1" applyAlignment="1">
      <alignment horizontal="center" vertical="center"/>
    </xf>
    <xf numFmtId="0" fontId="53" fillId="0" borderId="0" xfId="7" applyFont="1" applyAlignment="1">
      <alignment horizontal="right" vertical="center"/>
    </xf>
    <xf numFmtId="0" fontId="54" fillId="0" borderId="0" xfId="5" applyFont="1" applyAlignment="1">
      <alignment horizontal="right" vertical="center"/>
    </xf>
    <xf numFmtId="0" fontId="22" fillId="0" borderId="0" xfId="5" applyFont="1" applyAlignment="1">
      <alignment horizontal="right" vertical="center"/>
    </xf>
    <xf numFmtId="0" fontId="21" fillId="0" borderId="16" xfId="5" applyFont="1" applyBorder="1" applyAlignment="1">
      <alignment horizontal="left" vertical="center" wrapText="1"/>
    </xf>
    <xf numFmtId="0" fontId="23" fillId="0" borderId="16" xfId="5" applyFont="1" applyBorder="1" applyAlignment="1">
      <alignment horizontal="left" vertical="center" wrapText="1"/>
    </xf>
    <xf numFmtId="0" fontId="23" fillId="0" borderId="17" xfId="5" applyFont="1" applyBorder="1" applyAlignment="1">
      <alignment horizontal="left" vertical="center" wrapText="1"/>
    </xf>
    <xf numFmtId="0" fontId="23" fillId="0" borderId="14" xfId="5" applyFont="1" applyBorder="1" applyAlignment="1">
      <alignment horizontal="center"/>
    </xf>
    <xf numFmtId="0" fontId="23" fillId="0" borderId="1" xfId="5" applyFont="1" applyBorder="1" applyAlignment="1">
      <alignment horizontal="center"/>
    </xf>
    <xf numFmtId="0" fontId="23" fillId="0" borderId="13" xfId="5" applyFont="1" applyBorder="1" applyAlignment="1">
      <alignment horizontal="center"/>
    </xf>
    <xf numFmtId="0" fontId="22" fillId="0" borderId="14" xfId="7" applyFont="1" applyBorder="1" applyAlignment="1">
      <alignment horizontal="center" vertical="center"/>
    </xf>
    <xf numFmtId="0" fontId="22" fillId="0" borderId="1" xfId="7" applyFont="1" applyBorder="1" applyAlignment="1">
      <alignment horizontal="center" vertical="center"/>
    </xf>
    <xf numFmtId="49" fontId="56" fillId="0" borderId="2" xfId="5" applyNumberFormat="1" applyFont="1" applyBorder="1" applyAlignment="1">
      <alignment horizontal="center" vertical="center"/>
    </xf>
    <xf numFmtId="49" fontId="56" fillId="0" borderId="0" xfId="5" applyNumberFormat="1" applyFont="1" applyAlignment="1">
      <alignment horizontal="center" vertical="center"/>
    </xf>
    <xf numFmtId="0" fontId="22" fillId="0" borderId="14" xfId="7" applyFont="1" applyBorder="1" applyAlignment="1">
      <alignment horizontal="right"/>
    </xf>
    <xf numFmtId="0" fontId="1" fillId="0" borderId="1" xfId="8" applyBorder="1"/>
    <xf numFmtId="0" fontId="23" fillId="0" borderId="14" xfId="5" applyFont="1" applyBorder="1" applyAlignment="1">
      <alignment horizontal="right"/>
    </xf>
    <xf numFmtId="0" fontId="23" fillId="0" borderId="1" xfId="5" applyFont="1" applyBorder="1" applyAlignment="1">
      <alignment horizontal="right"/>
    </xf>
    <xf numFmtId="0" fontId="23" fillId="0" borderId="1" xfId="7" applyFont="1" applyBorder="1" applyAlignment="1" applyProtection="1">
      <alignment horizontal="center" vertical="center" wrapText="1"/>
      <protection hidden="1"/>
    </xf>
    <xf numFmtId="2" fontId="9" fillId="0" borderId="1" xfId="7" applyNumberFormat="1" applyFont="1" applyBorder="1" applyAlignment="1" applyProtection="1">
      <alignment horizontal="center" vertical="center" wrapText="1"/>
      <protection hidden="1"/>
    </xf>
    <xf numFmtId="4" fontId="9" fillId="0" borderId="1" xfId="7" applyNumberFormat="1" applyFont="1" applyBorder="1" applyAlignment="1">
      <alignment horizontal="center" vertical="center"/>
    </xf>
    <xf numFmtId="0" fontId="23" fillId="0" borderId="49" xfId="7" applyFont="1" applyBorder="1" applyAlignment="1">
      <alignment horizontal="right"/>
    </xf>
    <xf numFmtId="0" fontId="23" fillId="0" borderId="0" xfId="7" applyFont="1" applyAlignment="1">
      <alignment horizontal="right"/>
    </xf>
    <xf numFmtId="0" fontId="9" fillId="0" borderId="49" xfId="5" applyBorder="1" applyAlignment="1">
      <alignment horizontal="center"/>
    </xf>
    <xf numFmtId="0" fontId="9" fillId="0" borderId="0" xfId="5" applyAlignment="1">
      <alignment horizontal="center"/>
    </xf>
    <xf numFmtId="0" fontId="9" fillId="0" borderId="50" xfId="5" applyBorder="1" applyAlignment="1">
      <alignment horizontal="center"/>
    </xf>
    <xf numFmtId="0" fontId="24" fillId="0" borderId="49" xfId="5" applyFont="1" applyBorder="1" applyAlignment="1">
      <alignment horizontal="center" vertical="center"/>
    </xf>
    <xf numFmtId="0" fontId="24" fillId="0" borderId="0" xfId="5" applyFont="1" applyAlignment="1">
      <alignment horizontal="center" vertical="center"/>
    </xf>
    <xf numFmtId="0" fontId="24" fillId="0" borderId="51" xfId="5" applyFont="1" applyBorder="1" applyAlignment="1">
      <alignment horizontal="center" vertical="center"/>
    </xf>
    <xf numFmtId="0" fontId="24" fillId="0" borderId="52" xfId="5" applyFont="1" applyBorder="1" applyAlignment="1">
      <alignment horizontal="center" vertical="center"/>
    </xf>
    <xf numFmtId="4" fontId="22" fillId="0" borderId="50" xfId="5" applyNumberFormat="1" applyFont="1" applyBorder="1" applyAlignment="1">
      <alignment horizontal="center" vertical="center"/>
    </xf>
    <xf numFmtId="0" fontId="22" fillId="0" borderId="53" xfId="5" applyFont="1" applyBorder="1" applyAlignment="1">
      <alignment horizontal="center" vertical="center"/>
    </xf>
    <xf numFmtId="0" fontId="23" fillId="0" borderId="14" xfId="7" applyFont="1" applyBorder="1" applyAlignment="1">
      <alignment horizontal="right"/>
    </xf>
    <xf numFmtId="0" fontId="23" fillId="0" borderId="1" xfId="7" applyFont="1" applyBorder="1" applyAlignment="1">
      <alignment horizontal="right"/>
    </xf>
    <xf numFmtId="4" fontId="23" fillId="0" borderId="1" xfId="7" applyNumberFormat="1" applyFont="1" applyBorder="1" applyAlignment="1">
      <alignment horizontal="center"/>
    </xf>
    <xf numFmtId="2" fontId="9" fillId="0" borderId="0" xfId="7" applyNumberFormat="1" applyFont="1" applyAlignment="1">
      <alignment horizontal="center" vertical="center"/>
    </xf>
    <xf numFmtId="0" fontId="9" fillId="0" borderId="2" xfId="7" applyFont="1" applyBorder="1" applyAlignment="1">
      <alignment horizontal="center"/>
    </xf>
    <xf numFmtId="0" fontId="9" fillId="0" borderId="0" xfId="7" applyFont="1" applyAlignment="1">
      <alignment horizontal="center"/>
    </xf>
    <xf numFmtId="0" fontId="33" fillId="0" borderId="2" xfId="7" applyFont="1" applyBorder="1" applyAlignment="1">
      <alignment horizontal="center" vertical="center"/>
    </xf>
    <xf numFmtId="0" fontId="33" fillId="0" borderId="0" xfId="7" applyFont="1" applyAlignment="1">
      <alignment horizontal="center" vertical="center"/>
    </xf>
    <xf numFmtId="4" fontId="9" fillId="0" borderId="0" xfId="5" applyNumberFormat="1" applyAlignment="1">
      <alignment horizontal="center" vertical="center"/>
    </xf>
    <xf numFmtId="0" fontId="22" fillId="0" borderId="2" xfId="7" applyFont="1" applyBorder="1" applyAlignment="1">
      <alignment horizontal="right"/>
    </xf>
    <xf numFmtId="0" fontId="22" fillId="0" borderId="0" xfId="7" applyFont="1" applyAlignment="1">
      <alignment horizontal="right"/>
    </xf>
    <xf numFmtId="4" fontId="23" fillId="0" borderId="0" xfId="7" applyNumberFormat="1" applyFont="1" applyAlignment="1">
      <alignment horizontal="center"/>
    </xf>
    <xf numFmtId="0" fontId="22" fillId="0" borderId="2" xfId="7" applyFont="1" applyBorder="1" applyAlignment="1">
      <alignment horizontal="center"/>
    </xf>
    <xf numFmtId="0" fontId="22" fillId="0" borderId="0" xfId="7" applyFont="1" applyAlignment="1">
      <alignment horizontal="center"/>
    </xf>
    <xf numFmtId="0" fontId="33" fillId="0" borderId="14" xfId="7" applyFont="1" applyBorder="1" applyAlignment="1">
      <alignment horizontal="center" vertical="center"/>
    </xf>
    <xf numFmtId="0" fontId="33" fillId="0" borderId="1" xfId="7" applyFont="1" applyBorder="1" applyAlignment="1">
      <alignment horizontal="center" vertical="center"/>
    </xf>
    <xf numFmtId="0" fontId="59" fillId="0" borderId="1" xfId="7" applyFont="1" applyBorder="1" applyAlignment="1">
      <alignment horizontal="center" vertical="center" wrapText="1"/>
    </xf>
    <xf numFmtId="0" fontId="24" fillId="0" borderId="1" xfId="7" applyFont="1" applyBorder="1" applyAlignment="1">
      <alignment horizontal="center" vertical="center" wrapText="1"/>
    </xf>
    <xf numFmtId="173" fontId="9" fillId="0" borderId="1" xfId="7" applyNumberFormat="1" applyFont="1" applyBorder="1" applyAlignment="1">
      <alignment horizontal="center"/>
    </xf>
    <xf numFmtId="4" fontId="9" fillId="0" borderId="1" xfId="5" applyNumberFormat="1" applyBorder="1" applyAlignment="1">
      <alignment horizontal="center" vertical="center"/>
    </xf>
    <xf numFmtId="0" fontId="41" fillId="0" borderId="14" xfId="7" applyFont="1" applyBorder="1" applyAlignment="1">
      <alignment horizontal="center" vertical="center"/>
    </xf>
    <xf numFmtId="0" fontId="41" fillId="0" borderId="1" xfId="7" applyFont="1" applyBorder="1" applyAlignment="1">
      <alignment horizontal="center" vertical="center"/>
    </xf>
    <xf numFmtId="0" fontId="22" fillId="0" borderId="1" xfId="7" applyFont="1" applyBorder="1" applyAlignment="1">
      <alignment horizontal="right"/>
    </xf>
    <xf numFmtId="0" fontId="33" fillId="0" borderId="1" xfId="5" applyFont="1" applyBorder="1" applyAlignment="1">
      <alignment horizontal="center" vertical="center"/>
    </xf>
    <xf numFmtId="0" fontId="56" fillId="0" borderId="1" xfId="7" applyFont="1" applyBorder="1" applyAlignment="1">
      <alignment horizontal="left"/>
    </xf>
    <xf numFmtId="4" fontId="56" fillId="0" borderId="1" xfId="5" applyNumberFormat="1" applyFont="1" applyBorder="1" applyAlignment="1">
      <alignment horizontal="center"/>
    </xf>
    <xf numFmtId="0" fontId="56" fillId="0" borderId="1" xfId="5" applyFont="1" applyBorder="1" applyAlignment="1">
      <alignment horizontal="left"/>
    </xf>
    <xf numFmtId="0" fontId="9" fillId="0" borderId="55" xfId="5" applyBorder="1" applyAlignment="1">
      <alignment horizontal="center"/>
    </xf>
    <xf numFmtId="0" fontId="9" fillId="0" borderId="56" xfId="5" applyBorder="1" applyAlignment="1">
      <alignment horizontal="center"/>
    </xf>
    <xf numFmtId="4" fontId="23" fillId="0" borderId="56" xfId="5" applyNumberFormat="1" applyFont="1" applyBorder="1" applyAlignment="1">
      <alignment horizontal="center"/>
    </xf>
    <xf numFmtId="0" fontId="56" fillId="0" borderId="1" xfId="5" applyFont="1" applyBorder="1" applyAlignment="1">
      <alignment horizontal="left" wrapText="1"/>
    </xf>
    <xf numFmtId="4" fontId="56" fillId="0" borderId="1" xfId="5" applyNumberFormat="1" applyFont="1" applyBorder="1" applyAlignment="1">
      <alignment horizontal="center" vertical="center"/>
    </xf>
    <xf numFmtId="4" fontId="22" fillId="0" borderId="1" xfId="5" applyNumberFormat="1" applyFont="1" applyBorder="1" applyAlignment="1">
      <alignment horizontal="center"/>
    </xf>
    <xf numFmtId="0" fontId="33" fillId="2" borderId="29" xfId="5" applyFont="1" applyFill="1" applyBorder="1" applyAlignment="1">
      <alignment horizontal="right"/>
    </xf>
    <xf numFmtId="0" fontId="33" fillId="2" borderId="54" xfId="5" applyFont="1" applyFill="1" applyBorder="1" applyAlignment="1">
      <alignment horizontal="right"/>
    </xf>
    <xf numFmtId="0" fontId="33" fillId="2" borderId="30" xfId="5" applyFont="1" applyFill="1" applyBorder="1" applyAlignment="1">
      <alignment horizontal="right"/>
    </xf>
    <xf numFmtId="4" fontId="22" fillId="2" borderId="1" xfId="5" applyNumberFormat="1" applyFont="1" applyFill="1" applyBorder="1" applyAlignment="1">
      <alignment horizontal="center"/>
    </xf>
    <xf numFmtId="0" fontId="23" fillId="0" borderId="2" xfId="5" applyFont="1" applyBorder="1" applyAlignment="1">
      <alignment horizontal="center"/>
    </xf>
    <xf numFmtId="0" fontId="23" fillId="0" borderId="0" xfId="5" applyFont="1" applyAlignment="1">
      <alignment horizontal="center"/>
    </xf>
    <xf numFmtId="0" fontId="20" fillId="0" borderId="0" xfId="7" applyAlignment="1">
      <alignment horizontal="center"/>
    </xf>
    <xf numFmtId="0" fontId="67" fillId="0" borderId="0" xfId="7" applyFont="1" applyAlignment="1">
      <alignment horizontal="center"/>
    </xf>
    <xf numFmtId="0" fontId="24" fillId="0" borderId="0" xfId="7" applyFont="1" applyAlignment="1">
      <alignment horizontal="right"/>
    </xf>
    <xf numFmtId="0" fontId="63" fillId="0" borderId="0" xfId="7" applyFont="1" applyAlignment="1">
      <alignment horizontal="right"/>
    </xf>
    <xf numFmtId="0" fontId="28" fillId="0" borderId="0" xfId="7" applyFont="1" applyAlignment="1">
      <alignment horizontal="right"/>
    </xf>
    <xf numFmtId="0" fontId="65" fillId="0" borderId="0" xfId="7" applyFont="1" applyAlignment="1">
      <alignment horizontal="right"/>
    </xf>
    <xf numFmtId="0" fontId="66" fillId="0" borderId="0" xfId="7" applyFont="1" applyAlignment="1">
      <alignment horizontal="center"/>
    </xf>
    <xf numFmtId="0" fontId="68" fillId="0" borderId="2" xfId="4" applyFont="1" applyBorder="1" applyAlignment="1">
      <alignment horizontal="center" vertical="center" wrapText="1"/>
    </xf>
    <xf numFmtId="0" fontId="68" fillId="0" borderId="0" xfId="4" applyFont="1" applyAlignment="1">
      <alignment horizontal="center" vertical="center" wrapText="1"/>
    </xf>
    <xf numFmtId="0" fontId="68" fillId="0" borderId="3" xfId="4" applyFont="1" applyBorder="1" applyAlignment="1">
      <alignment horizontal="center" vertical="center" wrapText="1"/>
    </xf>
    <xf numFmtId="165" fontId="22" fillId="5" borderId="43" xfId="6" applyNumberFormat="1" applyFont="1" applyFill="1" applyBorder="1" applyAlignment="1">
      <alignment vertical="center"/>
    </xf>
    <xf numFmtId="0" fontId="9" fillId="5" borderId="41" xfId="5" applyFont="1" applyFill="1" applyBorder="1" applyAlignment="1">
      <alignment vertical="center"/>
    </xf>
    <xf numFmtId="0" fontId="23" fillId="5" borderId="42" xfId="5" applyFont="1" applyFill="1" applyBorder="1" applyAlignment="1">
      <alignment horizontal="center" vertical="center"/>
    </xf>
    <xf numFmtId="9" fontId="9" fillId="6" borderId="42" xfId="6" applyNumberFormat="1" applyFont="1" applyFill="1" applyBorder="1" applyAlignment="1">
      <alignment horizontal="center" vertical="center"/>
    </xf>
    <xf numFmtId="165" fontId="9" fillId="5" borderId="42" xfId="6" applyNumberFormat="1" applyFont="1" applyFill="1" applyBorder="1" applyAlignment="1">
      <alignment vertical="center"/>
    </xf>
    <xf numFmtId="4" fontId="9" fillId="0" borderId="0" xfId="0" applyNumberFormat="1" applyFont="1"/>
    <xf numFmtId="0" fontId="9" fillId="0" borderId="0" xfId="0" applyFont="1"/>
  </cellXfs>
  <cellStyles count="89">
    <cellStyle name="20% - Ênfase1 2" xfId="9"/>
    <cellStyle name="20% - Ênfase1 3" xfId="10"/>
    <cellStyle name="20% - Ênfase1 4" xfId="11"/>
    <cellStyle name="20% - Ênfase1 5" xfId="12"/>
    <cellStyle name="20% - Ênfase1 6" xfId="13"/>
    <cellStyle name="20% - Ênfase1 7" xfId="14"/>
    <cellStyle name="20% - Ênfase2 2" xfId="15"/>
    <cellStyle name="20% - Ênfase2 3" xfId="16"/>
    <cellStyle name="20% - Ênfase2 4" xfId="17"/>
    <cellStyle name="20% - Ênfase2 5" xfId="18"/>
    <cellStyle name="20% - Ênfase2 6" xfId="19"/>
    <cellStyle name="20% - Ênfase2 7" xfId="20"/>
    <cellStyle name="20% - Ênfase3 2" xfId="21"/>
    <cellStyle name="20% - Ênfase3 3" xfId="22"/>
    <cellStyle name="20% - Ênfase3 4" xfId="23"/>
    <cellStyle name="20% - Ênfase3 5" xfId="24"/>
    <cellStyle name="20% - Ênfase3 6" xfId="25"/>
    <cellStyle name="20% - Ênfase3 7" xfId="26"/>
    <cellStyle name="20% - Ênfase4 2" xfId="27"/>
    <cellStyle name="20% - Ênfase4 3" xfId="28"/>
    <cellStyle name="20% - Ênfase4 4" xfId="29"/>
    <cellStyle name="20% - Ênfase4 5" xfId="30"/>
    <cellStyle name="20% - Ênfase4 6" xfId="31"/>
    <cellStyle name="20% - Ênfase4 7" xfId="32"/>
    <cellStyle name="20% - Ênfase5 2" xfId="33"/>
    <cellStyle name="20% - Ênfase5 3" xfId="34"/>
    <cellStyle name="20% - Ênfase5 4" xfId="35"/>
    <cellStyle name="20% - Ênfase5 5" xfId="36"/>
    <cellStyle name="20% - Ênfase5 6" xfId="37"/>
    <cellStyle name="20% - Ênfase5 7" xfId="38"/>
    <cellStyle name="20% - Ênfase6 2" xfId="39"/>
    <cellStyle name="20% - Ênfase6 3" xfId="40"/>
    <cellStyle name="20% - Ênfase6 4" xfId="41"/>
    <cellStyle name="20% - Ênfase6 5" xfId="42"/>
    <cellStyle name="20% - Ênfase6 6" xfId="43"/>
    <cellStyle name="20% - Ênfase6 7" xfId="44"/>
    <cellStyle name="40% - Ênfase1 2" xfId="45"/>
    <cellStyle name="40% - Ênfase1 3" xfId="46"/>
    <cellStyle name="40% - Ênfase1 4" xfId="47"/>
    <cellStyle name="40% - Ênfase1 5" xfId="48"/>
    <cellStyle name="40% - Ênfase1 6" xfId="49"/>
    <cellStyle name="40% - Ênfase1 7" xfId="50"/>
    <cellStyle name="40% - Ênfase2 2" xfId="51"/>
    <cellStyle name="40% - Ênfase2 3" xfId="52"/>
    <cellStyle name="40% - Ênfase2 4" xfId="53"/>
    <cellStyle name="40% - Ênfase2 5" xfId="54"/>
    <cellStyle name="40% - Ênfase2 6" xfId="55"/>
    <cellStyle name="40% - Ênfase2 7" xfId="56"/>
    <cellStyle name="40% - Ênfase3 2" xfId="57"/>
    <cellStyle name="40% - Ênfase3 3" xfId="58"/>
    <cellStyle name="40% - Ênfase3 4" xfId="59"/>
    <cellStyle name="40% - Ênfase3 5" xfId="60"/>
    <cellStyle name="40% - Ênfase3 6" xfId="61"/>
    <cellStyle name="40% - Ênfase3 7" xfId="62"/>
    <cellStyle name="40% - Ênfase4 2" xfId="63"/>
    <cellStyle name="40% - Ênfase4 3" xfId="64"/>
    <cellStyle name="40% - Ênfase4 4" xfId="65"/>
    <cellStyle name="40% - Ênfase4 5" xfId="66"/>
    <cellStyle name="40% - Ênfase4 6" xfId="67"/>
    <cellStyle name="40% - Ênfase4 7" xfId="68"/>
    <cellStyle name="40% - Ênfase5 2" xfId="69"/>
    <cellStyle name="40% - Ênfase5 3" xfId="70"/>
    <cellStyle name="40% - Ênfase5 4" xfId="71"/>
    <cellStyle name="40% - Ênfase5 5" xfId="72"/>
    <cellStyle name="40% - Ênfase5 6" xfId="73"/>
    <cellStyle name="40% - Ênfase5 7" xfId="74"/>
    <cellStyle name="40% - Ênfase6 2" xfId="75"/>
    <cellStyle name="40% - Ênfase6 3" xfId="76"/>
    <cellStyle name="40% - Ênfase6 4" xfId="77"/>
    <cellStyle name="40% - Ênfase6 5" xfId="78"/>
    <cellStyle name="40% - Ênfase6 6" xfId="79"/>
    <cellStyle name="40% - Ênfase6 7" xfId="80"/>
    <cellStyle name="Moeda" xfId="1" builtinId="4"/>
    <cellStyle name="Normal" xfId="0" builtinId="0"/>
    <cellStyle name="Normal 2" xfId="4"/>
    <cellStyle name="Normal 2 2" xfId="5"/>
    <cellStyle name="Normal 3" xfId="7"/>
    <cellStyle name="Normal 4" xfId="8"/>
    <cellStyle name="Nota 2" xfId="81"/>
    <cellStyle name="Nota 3" xfId="82"/>
    <cellStyle name="Nota 4" xfId="83"/>
    <cellStyle name="Nota 5" xfId="84"/>
    <cellStyle name="Nota 6" xfId="85"/>
    <cellStyle name="Nota 7" xfId="86"/>
    <cellStyle name="Porcentagem" xfId="2" builtinId="5"/>
    <cellStyle name="Porcentagem 2" xfId="87"/>
    <cellStyle name="Separador de milhares 2" xfId="88"/>
    <cellStyle name="Separador de milhares_orçamento 2 (Requantificado)" xfId="6"/>
    <cellStyle name="Vírgula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7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image" Target="../media/image8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1</xdr:row>
      <xdr:rowOff>200026</xdr:rowOff>
    </xdr:from>
    <xdr:to>
      <xdr:col>4</xdr:col>
      <xdr:colOff>781051</xdr:colOff>
      <xdr:row>4</xdr:row>
      <xdr:rowOff>161926</xdr:rowOff>
    </xdr:to>
    <xdr:pic>
      <xdr:nvPicPr>
        <xdr:cNvPr id="2" name="Imagem 1" descr="C:\Users\CLAUDIO SANTOS\Desktop\BRASÃO OFICIAL UFMA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1" y="390526"/>
          <a:ext cx="552450" cy="590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152400</xdr:colOff>
      <xdr:row>2</xdr:row>
      <xdr:rowOff>123825</xdr:rowOff>
    </xdr:from>
    <xdr:to>
      <xdr:col>7</xdr:col>
      <xdr:colOff>771525</xdr:colOff>
      <xdr:row>5</xdr:row>
      <xdr:rowOff>57150</xdr:rowOff>
    </xdr:to>
    <xdr:pic>
      <xdr:nvPicPr>
        <xdr:cNvPr id="2" name="Imagem 1" descr="C:\Users\CLAUDIO SANTOS\Desktop\BRASÃO OFICIAL UFMA.jp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8625" y="428625"/>
          <a:ext cx="619125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361950</xdr:colOff>
      <xdr:row>58</xdr:row>
      <xdr:rowOff>57151</xdr:rowOff>
    </xdr:from>
    <xdr:to>
      <xdr:col>7</xdr:col>
      <xdr:colOff>828675</xdr:colOff>
      <xdr:row>61</xdr:row>
      <xdr:rowOff>85725</xdr:rowOff>
    </xdr:to>
    <xdr:pic>
      <xdr:nvPicPr>
        <xdr:cNvPr id="3" name="Imagem 2" descr="C:\Users\CLAUDIO SANTOS\Desktop\BRASÃO OFICIAL UFMA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9439276"/>
          <a:ext cx="466725" cy="5143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257175</xdr:colOff>
      <xdr:row>114</xdr:row>
      <xdr:rowOff>9526</xdr:rowOff>
    </xdr:from>
    <xdr:to>
      <xdr:col>7</xdr:col>
      <xdr:colOff>757672</xdr:colOff>
      <xdr:row>117</xdr:row>
      <xdr:rowOff>38101</xdr:rowOff>
    </xdr:to>
    <xdr:pic>
      <xdr:nvPicPr>
        <xdr:cNvPr id="4" name="Imagem 3" descr="C:\Users\CLAUDIO SANTOS\Desktop\BRASÃO OFICIAL UFMA.jpg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8468976"/>
          <a:ext cx="500497" cy="514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0</xdr:rowOff>
    </xdr:from>
    <xdr:to>
      <xdr:col>1</xdr:col>
      <xdr:colOff>965835</xdr:colOff>
      <xdr:row>2</xdr:row>
      <xdr:rowOff>0</xdr:rowOff>
    </xdr:to>
    <xdr:pic>
      <xdr:nvPicPr>
        <xdr:cNvPr id="2" name="Imagem 3" descr="C:\Users\CLAUDIO SANTOS\Desktop\BRASÃO OFICIAL UFMA.jpg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6715" y="76200"/>
          <a:ext cx="87439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333375</xdr:colOff>
      <xdr:row>0</xdr:row>
      <xdr:rowOff>152399</xdr:rowOff>
    </xdr:from>
    <xdr:to>
      <xdr:col>2</xdr:col>
      <xdr:colOff>158442</xdr:colOff>
      <xdr:row>5</xdr:row>
      <xdr:rowOff>28575</xdr:rowOff>
    </xdr:to>
    <xdr:pic>
      <xdr:nvPicPr>
        <xdr:cNvPr id="3" name="Imagem 4" descr="C:\Users\CLAUDIO SANTOS\Desktop\BRASÃO OFICIAL UFMA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350" y="152399"/>
          <a:ext cx="958542" cy="8286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66675</xdr:colOff>
      <xdr:row>2</xdr:row>
      <xdr:rowOff>76200</xdr:rowOff>
    </xdr:from>
    <xdr:ext cx="874395" cy="0"/>
    <xdr:pic>
      <xdr:nvPicPr>
        <xdr:cNvPr id="4" name="Imagem 3" descr="C:\Users\CLAUDIO SANTOS\Desktop\BRASÃO OFICIAL UFMA.jpg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5775" y="259080"/>
          <a:ext cx="87439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66675</xdr:rowOff>
    </xdr:from>
    <xdr:to>
      <xdr:col>1</xdr:col>
      <xdr:colOff>1069467</xdr:colOff>
      <xdr:row>0</xdr:row>
      <xdr:rowOff>69342</xdr:rowOff>
    </xdr:to>
    <xdr:pic>
      <xdr:nvPicPr>
        <xdr:cNvPr id="2" name="Imagem 1" descr="C:\Users\CLAUDIO SANTOS\Desktop\BRASÃO OFICIAL UFMA.jpg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66675"/>
          <a:ext cx="1247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0</xdr:row>
      <xdr:rowOff>0</xdr:rowOff>
    </xdr:from>
    <xdr:to>
      <xdr:col>1</xdr:col>
      <xdr:colOff>967740</xdr:colOff>
      <xdr:row>0</xdr:row>
      <xdr:rowOff>0</xdr:rowOff>
    </xdr:to>
    <xdr:pic>
      <xdr:nvPicPr>
        <xdr:cNvPr id="3" name="Imagem 2" descr="C:\Users\CLAUDIO SANTOS\Desktop\BRASÃO OFICIAL UFMA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52475" y="0"/>
          <a:ext cx="8991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361951</xdr:colOff>
      <xdr:row>0</xdr:row>
      <xdr:rowOff>123824</xdr:rowOff>
    </xdr:from>
    <xdr:to>
      <xdr:col>1</xdr:col>
      <xdr:colOff>1035558</xdr:colOff>
      <xdr:row>5</xdr:row>
      <xdr:rowOff>123825</xdr:rowOff>
    </xdr:to>
    <xdr:pic>
      <xdr:nvPicPr>
        <xdr:cNvPr id="4" name="Imagem 3" descr="C:\Users\CLAUDIO SANTOS\Desktop\BRASÃO OFICIAL UFMA.jpg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61951" y="123824"/>
          <a:ext cx="1035557" cy="9429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66675</xdr:colOff>
      <xdr:row>0</xdr:row>
      <xdr:rowOff>0</xdr:rowOff>
    </xdr:from>
    <xdr:ext cx="874395" cy="0"/>
    <xdr:pic>
      <xdr:nvPicPr>
        <xdr:cNvPr id="5" name="Imagem 4" descr="C:\Users\CLAUDIO SANTOS\Desktop\BRASÃO OFICIAL UFMA.jpg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52475" y="0"/>
          <a:ext cx="87439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66675</xdr:colOff>
      <xdr:row>2</xdr:row>
      <xdr:rowOff>0</xdr:rowOff>
    </xdr:from>
    <xdr:to>
      <xdr:col>1</xdr:col>
      <xdr:colOff>967740</xdr:colOff>
      <xdr:row>2</xdr:row>
      <xdr:rowOff>0</xdr:rowOff>
    </xdr:to>
    <xdr:pic>
      <xdr:nvPicPr>
        <xdr:cNvPr id="6" name="Imagem 5" descr="C:\Users\CLAUDIO SANTOS\Desktop\BRASÃO OFICIAL UFMA.jpg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52475" y="371475"/>
          <a:ext cx="8991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66675</xdr:colOff>
      <xdr:row>2</xdr:row>
      <xdr:rowOff>76200</xdr:rowOff>
    </xdr:from>
    <xdr:ext cx="874395" cy="0"/>
    <xdr:pic>
      <xdr:nvPicPr>
        <xdr:cNvPr id="7" name="Imagem 6" descr="C:\Users\CLAUDIO SANTOS\Desktop\BRASÃO OFICIAL UFMA.jpg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52475" y="447675"/>
          <a:ext cx="87439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0</xdr:rowOff>
    </xdr:from>
    <xdr:to>
      <xdr:col>1</xdr:col>
      <xdr:colOff>965835</xdr:colOff>
      <xdr:row>2</xdr:row>
      <xdr:rowOff>0</xdr:rowOff>
    </xdr:to>
    <xdr:pic>
      <xdr:nvPicPr>
        <xdr:cNvPr id="2" name="Imagem 3" descr="C:\Users\CLAUDIO SANTOS\Desktop\BRASÃO OFICIAL UFMA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8650" y="381000"/>
          <a:ext cx="8991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333375</xdr:colOff>
      <xdr:row>0</xdr:row>
      <xdr:rowOff>152399</xdr:rowOff>
    </xdr:from>
    <xdr:to>
      <xdr:col>2</xdr:col>
      <xdr:colOff>38100</xdr:colOff>
      <xdr:row>5</xdr:row>
      <xdr:rowOff>76200</xdr:rowOff>
    </xdr:to>
    <xdr:pic>
      <xdr:nvPicPr>
        <xdr:cNvPr id="3" name="Imagem 4" descr="C:\Users\CLAUDIO SANTOS\Desktop\BRASÃO OFICIAL UFMA.jpg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350" y="152399"/>
          <a:ext cx="838200" cy="8763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66675</xdr:colOff>
      <xdr:row>2</xdr:row>
      <xdr:rowOff>76200</xdr:rowOff>
    </xdr:from>
    <xdr:ext cx="874395" cy="0"/>
    <xdr:pic>
      <xdr:nvPicPr>
        <xdr:cNvPr id="4" name="Imagem 3" descr="C:\Users\CLAUDIO SANTOS\Desktop\BRASÃO OFICIAL UFMA.jpg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8650" y="457200"/>
          <a:ext cx="87439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323852</xdr:colOff>
      <xdr:row>2</xdr:row>
      <xdr:rowOff>46439</xdr:rowOff>
    </xdr:from>
    <xdr:to>
      <xdr:col>1</xdr:col>
      <xdr:colOff>778176</xdr:colOff>
      <xdr:row>2</xdr:row>
      <xdr:rowOff>47623</xdr:rowOff>
    </xdr:to>
    <xdr:pic>
      <xdr:nvPicPr>
        <xdr:cNvPr id="2" name="Picture 1" descr="ufma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2" y="484589"/>
          <a:ext cx="911524" cy="11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268430</xdr:colOff>
      <xdr:row>1</xdr:row>
      <xdr:rowOff>60614</xdr:rowOff>
    </xdr:from>
    <xdr:to>
      <xdr:col>1</xdr:col>
      <xdr:colOff>562841</xdr:colOff>
      <xdr:row>4</xdr:row>
      <xdr:rowOff>112568</xdr:rowOff>
    </xdr:to>
    <xdr:pic>
      <xdr:nvPicPr>
        <xdr:cNvPr id="3" name="Imagem 2" descr="C:\Users\CLAUDIO SANTOS\Desktop\BRASÃO OFICIAL UFMA.jpg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430" y="279689"/>
          <a:ext cx="751611" cy="72822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0</xdr:rowOff>
    </xdr:from>
    <xdr:to>
      <xdr:col>2</xdr:col>
      <xdr:colOff>114300</xdr:colOff>
      <xdr:row>2</xdr:row>
      <xdr:rowOff>0</xdr:rowOff>
    </xdr:to>
    <xdr:pic>
      <xdr:nvPicPr>
        <xdr:cNvPr id="2" name="Imagem 3" descr="C:\Users\CLAUDIO SANTOS\Desktop\BRASÃO OFICIAL UFMA.jpg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8650" y="381000"/>
          <a:ext cx="8991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390525</xdr:colOff>
      <xdr:row>0</xdr:row>
      <xdr:rowOff>161922</xdr:rowOff>
    </xdr:from>
    <xdr:to>
      <xdr:col>2</xdr:col>
      <xdr:colOff>419100</xdr:colOff>
      <xdr:row>4</xdr:row>
      <xdr:rowOff>104775</xdr:rowOff>
    </xdr:to>
    <xdr:pic>
      <xdr:nvPicPr>
        <xdr:cNvPr id="3" name="Imagem 4" descr="C:\Users\CLAUDIO SANTOS\Desktop\BRASÃO OFICIAL UFMA.jpg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775" y="161922"/>
          <a:ext cx="895350" cy="7143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66675</xdr:colOff>
      <xdr:row>2</xdr:row>
      <xdr:rowOff>76200</xdr:rowOff>
    </xdr:from>
    <xdr:ext cx="874395" cy="0"/>
    <xdr:pic>
      <xdr:nvPicPr>
        <xdr:cNvPr id="4" name="Imagem 3" descr="C:\Users\CLAUDIO SANTOS\Desktop\BRASÃO OFICIAL UFMA.jpg">
          <a:extLst>
            <a:ext uri="{FF2B5EF4-FFF2-40B4-BE49-F238E27FC236}">
              <a16:creationId xmlns=""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8650" y="457200"/>
          <a:ext cx="87439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riss/Downloads/Adm.%20Local%201&#186;%20lote%20(para%20corre&#231;&#227;o%20-%20jun%202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3&#186;%20lote%20para%20Carlos/Adm.%20Local%203&#186;%20lote%20(para%20corre&#231;&#227;o%20-%20jul%202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azo Valor"/>
      <sheetName val="Pes. Produção"/>
      <sheetName val="Vigias"/>
      <sheetName val="Pes. Admin."/>
      <sheetName val="SESMT"/>
      <sheetName val="Mat. Esc. Obra"/>
      <sheetName val="Veíc.Mot."/>
      <sheetName val="Cant. Obras"/>
      <sheetName val="Perm. Vg.Campus"/>
      <sheetName val="Qdade . Operários"/>
      <sheetName val="Curva ABC de Insumos"/>
      <sheetName val="Resumo"/>
      <sheetName val="Adm.Local.Empresa"/>
      <sheetName val="TAB.DEPR."/>
      <sheetName val="Plan1"/>
      <sheetName val="Plan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68">
          <cell r="K68">
            <v>2048.8491584999997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azo Valor"/>
      <sheetName val="Pes. Produção"/>
      <sheetName val="Vigias"/>
      <sheetName val="Pes. Admin."/>
      <sheetName val="SESMT"/>
      <sheetName val="Mat. Esc. Obra"/>
      <sheetName val="Veíc.Mot."/>
      <sheetName val="Cant. Obras"/>
      <sheetName val="Perm. Vg.Campus"/>
      <sheetName val="Qdade . Operários"/>
      <sheetName val="Curva ABC de Insumos"/>
      <sheetName val="Resumo"/>
      <sheetName val="Adm.Local.Empresa"/>
      <sheetName val="TAB.DEPR."/>
      <sheetName val="Plan1"/>
      <sheetName val="Plan2"/>
    </sheetNames>
    <sheetDataSet>
      <sheetData sheetId="0"/>
      <sheetData sheetId="1"/>
      <sheetData sheetId="2"/>
      <sheetData sheetId="3">
        <row r="12">
          <cell r="C12">
            <v>0</v>
          </cell>
          <cell r="E12">
            <v>12</v>
          </cell>
          <cell r="F12">
            <v>83.720635000000001</v>
          </cell>
          <cell r="K12">
            <v>0</v>
          </cell>
          <cell r="L12">
            <v>0</v>
          </cell>
        </row>
        <row r="13">
          <cell r="C13">
            <v>24</v>
          </cell>
          <cell r="E13">
            <v>12</v>
          </cell>
          <cell r="F13">
            <v>94.151099999999985</v>
          </cell>
          <cell r="K13">
            <v>417.59999999999997</v>
          </cell>
          <cell r="L13">
            <v>538.55999999999995</v>
          </cell>
        </row>
        <row r="14">
          <cell r="C14">
            <v>0</v>
          </cell>
          <cell r="E14">
            <v>12</v>
          </cell>
          <cell r="F14">
            <v>94.151099999999985</v>
          </cell>
          <cell r="K14">
            <v>0</v>
          </cell>
          <cell r="L14">
            <v>0</v>
          </cell>
        </row>
        <row r="15">
          <cell r="C15">
            <v>0</v>
          </cell>
          <cell r="E15">
            <v>12</v>
          </cell>
          <cell r="F15">
            <v>122.39643000000001</v>
          </cell>
          <cell r="K15">
            <v>0</v>
          </cell>
          <cell r="L15">
            <v>0</v>
          </cell>
        </row>
        <row r="16">
          <cell r="C16">
            <v>0</v>
          </cell>
          <cell r="E16">
            <v>12</v>
          </cell>
          <cell r="G16">
            <v>35.448</v>
          </cell>
          <cell r="K16">
            <v>0</v>
          </cell>
          <cell r="L16">
            <v>0</v>
          </cell>
        </row>
        <row r="17">
          <cell r="C17">
            <v>0</v>
          </cell>
          <cell r="E17">
            <v>12</v>
          </cell>
          <cell r="G17">
            <v>35.448</v>
          </cell>
          <cell r="K17">
            <v>0</v>
          </cell>
          <cell r="L17">
            <v>0</v>
          </cell>
        </row>
        <row r="18">
          <cell r="C18">
            <v>0</v>
          </cell>
          <cell r="E18">
            <v>12</v>
          </cell>
          <cell r="G18">
            <v>26.586000000000002</v>
          </cell>
          <cell r="K18">
            <v>0</v>
          </cell>
          <cell r="L18">
            <v>0</v>
          </cell>
        </row>
        <row r="19">
          <cell r="C19">
            <v>0</v>
          </cell>
          <cell r="E19">
            <v>12</v>
          </cell>
          <cell r="K19">
            <v>0</v>
          </cell>
          <cell r="L19">
            <v>0</v>
          </cell>
        </row>
        <row r="20">
          <cell r="C20">
            <v>0</v>
          </cell>
          <cell r="E20">
            <v>12</v>
          </cell>
          <cell r="G20">
            <v>12.362489999999999</v>
          </cell>
          <cell r="K20">
            <v>0</v>
          </cell>
          <cell r="L20">
            <v>0</v>
          </cell>
        </row>
        <row r="21">
          <cell r="C21">
            <v>0</v>
          </cell>
          <cell r="E21">
            <v>12</v>
          </cell>
          <cell r="G21">
            <v>9.2164800000000007</v>
          </cell>
          <cell r="K21">
            <v>0</v>
          </cell>
          <cell r="L21">
            <v>0</v>
          </cell>
        </row>
        <row r="22">
          <cell r="C22">
            <v>0</v>
          </cell>
          <cell r="E22">
            <v>12</v>
          </cell>
          <cell r="G22">
            <v>8.7408860000000015</v>
          </cell>
          <cell r="K22">
            <v>0</v>
          </cell>
          <cell r="L22">
            <v>0</v>
          </cell>
        </row>
        <row r="23">
          <cell r="C23">
            <v>0</v>
          </cell>
          <cell r="E23">
            <v>12</v>
          </cell>
          <cell r="G23">
            <v>0</v>
          </cell>
          <cell r="K23">
            <v>0</v>
          </cell>
          <cell r="L23">
            <v>0</v>
          </cell>
        </row>
        <row r="24">
          <cell r="C24">
            <v>0</v>
          </cell>
          <cell r="E24">
            <v>12</v>
          </cell>
          <cell r="G24">
            <v>0</v>
          </cell>
          <cell r="K24">
            <v>0</v>
          </cell>
          <cell r="L24">
            <v>0</v>
          </cell>
        </row>
      </sheetData>
      <sheetData sheetId="4">
        <row r="7">
          <cell r="E7">
            <v>12</v>
          </cell>
          <cell r="F7">
            <v>94.151099999999985</v>
          </cell>
        </row>
        <row r="8">
          <cell r="D8">
            <v>0</v>
          </cell>
          <cell r="E8">
            <v>12</v>
          </cell>
          <cell r="F8">
            <v>94.151099999999985</v>
          </cell>
        </row>
        <row r="9">
          <cell r="E9">
            <v>12</v>
          </cell>
          <cell r="G9">
            <v>35.448</v>
          </cell>
        </row>
        <row r="20">
          <cell r="I20">
            <v>1500</v>
          </cell>
        </row>
        <row r="21">
          <cell r="I21">
            <v>1500</v>
          </cell>
        </row>
        <row r="22">
          <cell r="I22">
            <v>0</v>
          </cell>
        </row>
        <row r="27">
          <cell r="J27">
            <v>0</v>
          </cell>
        </row>
      </sheetData>
      <sheetData sheetId="5">
        <row r="8">
          <cell r="F8">
            <v>0.1</v>
          </cell>
          <cell r="I8">
            <v>0</v>
          </cell>
        </row>
        <row r="9">
          <cell r="E9">
            <v>12</v>
          </cell>
          <cell r="I9">
            <v>0</v>
          </cell>
        </row>
        <row r="10">
          <cell r="E10">
            <v>12</v>
          </cell>
          <cell r="I10">
            <v>0</v>
          </cell>
        </row>
        <row r="11">
          <cell r="H11">
            <v>0</v>
          </cell>
          <cell r="I11">
            <v>0</v>
          </cell>
        </row>
      </sheetData>
      <sheetData sheetId="6">
        <row r="12">
          <cell r="F12">
            <v>0.11890000000000001</v>
          </cell>
          <cell r="J12">
            <v>90016.839000000007</v>
          </cell>
        </row>
        <row r="21">
          <cell r="C21">
            <v>450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7"/>
  <sheetViews>
    <sheetView view="pageBreakPreview" zoomScaleNormal="100" zoomScaleSheetLayoutView="100" workbookViewId="0">
      <selection activeCell="D10" sqref="D10"/>
    </sheetView>
  </sheetViews>
  <sheetFormatPr defaultColWidth="9" defaultRowHeight="15" x14ac:dyDescent="0.25"/>
  <cols>
    <col min="1" max="1" width="1" style="30" customWidth="1"/>
    <col min="2" max="2" width="14" style="30" customWidth="1"/>
    <col min="3" max="3" width="52.625" style="30" bestFit="1" customWidth="1"/>
    <col min="4" max="4" width="9" style="30"/>
    <col min="5" max="5" width="12.5" style="30" bestFit="1" customWidth="1"/>
    <col min="6" max="6" width="0.75" style="30" customWidth="1"/>
    <col min="7" max="16384" width="9" style="30"/>
  </cols>
  <sheetData>
    <row r="1" spans="2:9" x14ac:dyDescent="0.25">
      <c r="C1" s="31"/>
      <c r="D1" s="32"/>
      <c r="E1" s="33"/>
      <c r="F1" s="34"/>
      <c r="G1" s="34"/>
    </row>
    <row r="2" spans="2:9" ht="16.5" x14ac:dyDescent="0.25">
      <c r="C2" s="35" t="s">
        <v>811</v>
      </c>
      <c r="D2" s="36"/>
      <c r="E2" s="37"/>
      <c r="F2" s="37"/>
      <c r="G2" s="37"/>
    </row>
    <row r="3" spans="2:9" ht="16.5" x14ac:dyDescent="0.25">
      <c r="C3" s="35" t="s">
        <v>812</v>
      </c>
    </row>
    <row r="4" spans="2:9" ht="16.5" x14ac:dyDescent="0.3">
      <c r="C4" s="35" t="s">
        <v>815</v>
      </c>
      <c r="D4" s="38"/>
      <c r="E4" s="38"/>
      <c r="F4" s="38"/>
      <c r="G4" s="38"/>
    </row>
    <row r="5" spans="2:9" ht="16.5" x14ac:dyDescent="0.3">
      <c r="C5" s="35" t="s">
        <v>816</v>
      </c>
      <c r="E5" s="39"/>
      <c r="F5" s="40"/>
      <c r="G5" s="41"/>
    </row>
    <row r="6" spans="2:9" ht="16.5" x14ac:dyDescent="0.3">
      <c r="C6" s="35" t="s">
        <v>817</v>
      </c>
      <c r="D6" s="32"/>
      <c r="E6" s="42"/>
      <c r="F6" s="40"/>
      <c r="G6" s="41"/>
    </row>
    <row r="7" spans="2:9" ht="15.75" thickBot="1" x14ac:dyDescent="0.3">
      <c r="C7" s="43"/>
      <c r="D7" s="43"/>
      <c r="E7" s="44">
        <f ca="1">TODAY()</f>
        <v>45257</v>
      </c>
    </row>
    <row r="8" spans="2:9" ht="16.5" thickBot="1" x14ac:dyDescent="0.3">
      <c r="B8" s="338" t="s">
        <v>813</v>
      </c>
      <c r="C8" s="339"/>
      <c r="D8" s="339"/>
      <c r="E8" s="340"/>
      <c r="F8" s="37"/>
      <c r="G8" s="45"/>
      <c r="H8" s="46"/>
      <c r="I8" s="47"/>
    </row>
    <row r="9" spans="2:9" ht="42.75" customHeight="1" thickBot="1" x14ac:dyDescent="0.3">
      <c r="B9" s="341" t="s">
        <v>1275</v>
      </c>
      <c r="C9" s="342"/>
      <c r="D9" s="342"/>
      <c r="E9" s="343"/>
      <c r="F9" s="48"/>
      <c r="G9" s="48"/>
      <c r="H9" s="48"/>
      <c r="I9" s="48"/>
    </row>
    <row r="10" spans="2:9" x14ac:dyDescent="0.25">
      <c r="B10" s="49"/>
      <c r="E10" s="50"/>
    </row>
    <row r="11" spans="2:9" ht="88.5" customHeight="1" x14ac:dyDescent="0.25">
      <c r="B11" s="344" t="s">
        <v>1068</v>
      </c>
      <c r="C11" s="345"/>
      <c r="D11" s="345"/>
      <c r="E11" s="346"/>
    </row>
    <row r="12" spans="2:9" x14ac:dyDescent="0.25">
      <c r="B12" s="49"/>
      <c r="E12" s="50"/>
    </row>
    <row r="13" spans="2:9" ht="81.75" customHeight="1" x14ac:dyDescent="0.25">
      <c r="B13" s="344" t="s">
        <v>1069</v>
      </c>
      <c r="C13" s="345"/>
      <c r="D13" s="345"/>
      <c r="E13" s="346"/>
    </row>
    <row r="14" spans="2:9" ht="15.75" thickBot="1" x14ac:dyDescent="0.3">
      <c r="B14" s="49"/>
      <c r="E14" s="50"/>
    </row>
    <row r="15" spans="2:9" ht="15.75" x14ac:dyDescent="0.3">
      <c r="B15" s="51" t="s">
        <v>814</v>
      </c>
      <c r="C15" s="52"/>
      <c r="D15" s="52"/>
      <c r="E15" s="53"/>
    </row>
    <row r="16" spans="2:9" ht="33.75" customHeight="1" x14ac:dyDescent="0.25">
      <c r="B16" s="347" t="s">
        <v>1276</v>
      </c>
      <c r="C16" s="348"/>
      <c r="D16" s="348"/>
      <c r="E16" s="349"/>
    </row>
    <row r="17" spans="2:5" ht="15.75" thickBot="1" x14ac:dyDescent="0.3">
      <c r="B17" s="54"/>
      <c r="C17" s="55"/>
      <c r="D17" s="55"/>
      <c r="E17" s="56"/>
    </row>
  </sheetData>
  <mergeCells count="5">
    <mergeCell ref="B8:E8"/>
    <mergeCell ref="B9:E9"/>
    <mergeCell ref="B11:E11"/>
    <mergeCell ref="B13:E13"/>
    <mergeCell ref="B16:E16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4"/>
  <sheetViews>
    <sheetView view="pageBreakPreview" zoomScaleNormal="100" zoomScaleSheetLayoutView="100" workbookViewId="0">
      <selection activeCell="G123" sqref="G123"/>
    </sheetView>
  </sheetViews>
  <sheetFormatPr defaultColWidth="9" defaultRowHeight="16.5" x14ac:dyDescent="0.2"/>
  <cols>
    <col min="1" max="1" width="0.875" style="16" customWidth="1"/>
    <col min="2" max="2" width="2.375" style="17" customWidth="1"/>
    <col min="3" max="3" width="5.875" style="17" customWidth="1"/>
    <col min="4" max="6" width="11.125" style="17" customWidth="1"/>
    <col min="7" max="8" width="11.125" style="9" customWidth="1"/>
    <col min="9" max="9" width="1" style="17" customWidth="1"/>
    <col min="10" max="10" width="1.5" style="16" customWidth="1"/>
    <col min="11" max="11" width="2.375" style="18" customWidth="1"/>
    <col min="12" max="12" width="2.375" style="6" customWidth="1"/>
    <col min="13" max="13" width="2.375" style="7" customWidth="1"/>
    <col min="14" max="16" width="2.375" style="18" customWidth="1"/>
    <col min="17" max="17" width="2.375" customWidth="1"/>
  </cols>
  <sheetData>
    <row r="1" spans="1:13" ht="7.5" customHeight="1" x14ac:dyDescent="0.2"/>
    <row r="2" spans="1:13" x14ac:dyDescent="0.2">
      <c r="B2" s="350" t="s">
        <v>767</v>
      </c>
      <c r="C2" s="350"/>
      <c r="D2" s="350"/>
      <c r="E2" s="350"/>
      <c r="F2" s="350"/>
      <c r="G2" s="350"/>
      <c r="H2" s="350"/>
      <c r="I2" s="350"/>
    </row>
    <row r="3" spans="1:13" x14ac:dyDescent="0.2">
      <c r="B3" s="350" t="s">
        <v>768</v>
      </c>
      <c r="C3" s="350"/>
      <c r="D3" s="350"/>
      <c r="E3" s="350"/>
      <c r="F3" s="350"/>
      <c r="G3" s="350"/>
      <c r="H3" s="350"/>
      <c r="I3" s="350"/>
      <c r="L3" s="4"/>
      <c r="M3" s="5"/>
    </row>
    <row r="4" spans="1:13" ht="15.95" customHeight="1" x14ac:dyDescent="0.2">
      <c r="B4" s="108" t="s">
        <v>769</v>
      </c>
      <c r="C4" s="108"/>
      <c r="D4" s="108"/>
      <c r="E4" s="108"/>
      <c r="F4" s="108"/>
      <c r="G4" s="102"/>
      <c r="H4" s="102"/>
      <c r="I4" s="102"/>
    </row>
    <row r="5" spans="1:13" ht="15.95" customHeight="1" x14ac:dyDescent="0.2">
      <c r="B5" s="108" t="s">
        <v>770</v>
      </c>
      <c r="C5" s="108"/>
      <c r="D5" s="108"/>
      <c r="E5" s="102"/>
      <c r="F5" s="102"/>
      <c r="G5" s="102"/>
      <c r="H5" s="102"/>
      <c r="I5" s="102"/>
    </row>
    <row r="6" spans="1:13" ht="15.95" customHeight="1" x14ac:dyDescent="0.2">
      <c r="B6" s="108" t="s">
        <v>810</v>
      </c>
      <c r="C6" s="108"/>
      <c r="D6" s="108"/>
      <c r="E6" s="102"/>
      <c r="F6" s="102"/>
      <c r="G6" s="102"/>
      <c r="H6" s="102"/>
      <c r="I6" s="102"/>
    </row>
    <row r="7" spans="1:13" ht="15.95" customHeight="1" thickBot="1" x14ac:dyDescent="0.25">
      <c r="B7" s="108" t="s">
        <v>776</v>
      </c>
      <c r="C7" s="108"/>
      <c r="D7" s="108"/>
      <c r="E7" s="102"/>
      <c r="F7" s="102"/>
      <c r="G7" s="102"/>
      <c r="H7" s="102"/>
      <c r="I7" s="102"/>
    </row>
    <row r="8" spans="1:13" ht="4.5" customHeight="1" thickBot="1" x14ac:dyDescent="0.25">
      <c r="B8" s="110"/>
      <c r="C8" s="111"/>
      <c r="D8" s="106"/>
      <c r="E8" s="111"/>
      <c r="F8" s="111"/>
      <c r="G8" s="112"/>
      <c r="H8" s="112"/>
      <c r="I8" s="113"/>
    </row>
    <row r="9" spans="1:13" ht="12.95" customHeight="1" thickBot="1" x14ac:dyDescent="0.25">
      <c r="A9" s="17"/>
      <c r="B9" s="96"/>
      <c r="C9" s="97" t="s">
        <v>777</v>
      </c>
      <c r="D9" s="97"/>
      <c r="E9" s="98"/>
      <c r="F9" s="98"/>
      <c r="G9" s="99"/>
      <c r="H9" s="99"/>
      <c r="I9" s="100"/>
    </row>
    <row r="10" spans="1:13" ht="12.95" customHeight="1" x14ac:dyDescent="0.2">
      <c r="A10" s="17"/>
      <c r="B10" s="79"/>
      <c r="C10" s="19"/>
      <c r="D10" s="19"/>
      <c r="G10" s="20"/>
      <c r="H10" s="20"/>
      <c r="I10" s="78"/>
    </row>
    <row r="11" spans="1:13" ht="12.95" customHeight="1" x14ac:dyDescent="0.2">
      <c r="A11" s="17"/>
      <c r="B11" s="79"/>
      <c r="C11" s="80" t="s">
        <v>778</v>
      </c>
      <c r="D11" s="19"/>
      <c r="G11" s="20"/>
      <c r="H11" s="21">
        <f>SUM(H12:H14)</f>
        <v>6.0700000000000004E-2</v>
      </c>
      <c r="I11" s="81"/>
      <c r="J11" s="8"/>
      <c r="K11" s="21"/>
    </row>
    <row r="12" spans="1:13" ht="12.95" customHeight="1" x14ac:dyDescent="0.2">
      <c r="A12" s="17"/>
      <c r="B12" s="79"/>
      <c r="C12" s="82"/>
      <c r="D12" s="19" t="s">
        <v>779</v>
      </c>
      <c r="G12" s="22"/>
      <c r="H12" s="22">
        <v>0.04</v>
      </c>
      <c r="I12" s="78"/>
      <c r="J12" s="22"/>
      <c r="K12" s="22"/>
    </row>
    <row r="13" spans="1:13" ht="12.95" customHeight="1" x14ac:dyDescent="0.2">
      <c r="A13" s="17"/>
      <c r="B13" s="79"/>
      <c r="C13" s="82"/>
      <c r="D13" s="19" t="s">
        <v>780</v>
      </c>
      <c r="G13" s="22"/>
      <c r="H13" s="22">
        <v>8.0000000000000002E-3</v>
      </c>
      <c r="I13" s="78"/>
      <c r="J13" s="22"/>
      <c r="K13" s="22"/>
    </row>
    <row r="14" spans="1:13" ht="12.95" customHeight="1" x14ac:dyDescent="0.2">
      <c r="A14" s="17"/>
      <c r="B14" s="79"/>
      <c r="C14" s="82"/>
      <c r="D14" s="19" t="s">
        <v>781</v>
      </c>
      <c r="G14" s="22"/>
      <c r="H14" s="22">
        <v>1.2699999999999999E-2</v>
      </c>
      <c r="I14" s="78"/>
      <c r="J14" s="22"/>
      <c r="K14" s="22"/>
    </row>
    <row r="15" spans="1:13" ht="12.95" customHeight="1" x14ac:dyDescent="0.2">
      <c r="A15" s="17"/>
      <c r="B15" s="79"/>
      <c r="C15" s="82"/>
      <c r="D15" s="19"/>
      <c r="G15" s="22"/>
      <c r="H15" s="22"/>
      <c r="I15" s="78"/>
      <c r="J15" s="22"/>
      <c r="K15" s="22"/>
    </row>
    <row r="16" spans="1:13" ht="12.95" customHeight="1" x14ac:dyDescent="0.2">
      <c r="A16" s="17"/>
      <c r="B16" s="79"/>
      <c r="C16" s="83" t="s">
        <v>782</v>
      </c>
      <c r="D16" s="19"/>
      <c r="G16" s="22"/>
      <c r="H16" s="21">
        <v>1.23E-2</v>
      </c>
      <c r="I16" s="78"/>
      <c r="J16" s="8"/>
      <c r="K16" s="22"/>
    </row>
    <row r="17" spans="1:11" ht="12.95" customHeight="1" x14ac:dyDescent="0.2">
      <c r="A17" s="17"/>
      <c r="B17" s="79"/>
      <c r="C17" s="82"/>
      <c r="D17" s="19"/>
      <c r="G17" s="22"/>
      <c r="H17" s="22"/>
      <c r="I17" s="78"/>
      <c r="J17" s="23"/>
      <c r="K17" s="22"/>
    </row>
    <row r="18" spans="1:11" ht="12.95" customHeight="1" x14ac:dyDescent="0.2">
      <c r="A18" s="17"/>
      <c r="B18" s="79"/>
      <c r="C18" s="83" t="s">
        <v>783</v>
      </c>
      <c r="D18" s="19"/>
      <c r="G18" s="22"/>
      <c r="H18" s="21">
        <v>7.3999999999999996E-2</v>
      </c>
      <c r="I18" s="78"/>
      <c r="J18" s="8"/>
      <c r="K18" s="21"/>
    </row>
    <row r="19" spans="1:11" ht="12.95" customHeight="1" x14ac:dyDescent="0.2">
      <c r="A19" s="17"/>
      <c r="B19" s="79"/>
      <c r="C19" s="82"/>
      <c r="I19" s="84"/>
      <c r="J19" s="10"/>
      <c r="K19" s="11"/>
    </row>
    <row r="20" spans="1:11" ht="12.95" customHeight="1" x14ac:dyDescent="0.2">
      <c r="A20" s="17"/>
      <c r="B20" s="79"/>
      <c r="C20" s="83" t="s">
        <v>784</v>
      </c>
      <c r="D20" s="19"/>
      <c r="G20" s="22"/>
      <c r="H20" s="21">
        <f>SUM(H21:H24)</f>
        <v>5.6499999999999995E-2</v>
      </c>
      <c r="I20" s="84"/>
      <c r="J20" s="8"/>
      <c r="K20" s="21"/>
    </row>
    <row r="21" spans="1:11" ht="12.95" customHeight="1" x14ac:dyDescent="0.2">
      <c r="A21" s="17"/>
      <c r="B21" s="79"/>
      <c r="C21" s="82"/>
      <c r="D21" s="19" t="s">
        <v>785</v>
      </c>
      <c r="G21" s="22"/>
      <c r="H21" s="22">
        <v>6.4999999999999997E-3</v>
      </c>
      <c r="I21" s="78"/>
      <c r="J21" s="22"/>
      <c r="K21" s="22"/>
    </row>
    <row r="22" spans="1:11" ht="12.95" customHeight="1" x14ac:dyDescent="0.2">
      <c r="A22" s="17"/>
      <c r="B22" s="79"/>
      <c r="C22" s="82"/>
      <c r="D22" s="19" t="s">
        <v>786</v>
      </c>
      <c r="G22" s="22"/>
      <c r="H22" s="22">
        <v>0.03</v>
      </c>
      <c r="I22" s="78"/>
      <c r="J22" s="22"/>
      <c r="K22" s="22"/>
    </row>
    <row r="23" spans="1:11" ht="12.95" customHeight="1" x14ac:dyDescent="0.2">
      <c r="A23" s="17"/>
      <c r="B23" s="79"/>
      <c r="C23" s="82"/>
      <c r="D23" s="19" t="s">
        <v>787</v>
      </c>
      <c r="G23" s="22"/>
      <c r="H23" s="22">
        <v>0.02</v>
      </c>
      <c r="I23" s="78"/>
      <c r="J23" s="22"/>
      <c r="K23" s="22"/>
    </row>
    <row r="24" spans="1:11" ht="12.95" customHeight="1" x14ac:dyDescent="0.2">
      <c r="A24" s="17"/>
      <c r="B24" s="79"/>
      <c r="C24" s="82"/>
      <c r="D24" s="19" t="s">
        <v>788</v>
      </c>
      <c r="G24" s="22"/>
      <c r="H24" s="22">
        <v>0</v>
      </c>
      <c r="I24" s="78"/>
      <c r="J24" s="22"/>
      <c r="K24" s="22"/>
    </row>
    <row r="25" spans="1:11" ht="12.95" customHeight="1" x14ac:dyDescent="0.2">
      <c r="A25" s="17"/>
      <c r="B25" s="79"/>
      <c r="C25" s="19"/>
      <c r="D25" s="19"/>
      <c r="G25" s="22"/>
      <c r="H25" s="22"/>
      <c r="I25" s="78"/>
      <c r="J25" s="22"/>
      <c r="K25" s="22"/>
    </row>
    <row r="26" spans="1:11" ht="12.95" customHeight="1" x14ac:dyDescent="0.2">
      <c r="A26" s="17"/>
      <c r="B26" s="79"/>
      <c r="D26" s="85" t="s">
        <v>789</v>
      </c>
      <c r="G26" s="24"/>
      <c r="I26" s="78"/>
      <c r="J26" s="9"/>
    </row>
    <row r="27" spans="1:11" ht="12.95" customHeight="1" x14ac:dyDescent="0.2">
      <c r="A27" s="17"/>
      <c r="B27" s="79"/>
      <c r="C27" s="85" t="s">
        <v>790</v>
      </c>
      <c r="D27" s="86" t="s">
        <v>791</v>
      </c>
      <c r="G27" s="24"/>
      <c r="H27" s="87">
        <f>100*(((1+H11)*(1+H16)*(1+H18))/(1-H20)-1)</f>
        <v>22.226164190779009</v>
      </c>
      <c r="I27" s="78"/>
      <c r="J27" s="8"/>
      <c r="K27" s="24"/>
    </row>
    <row r="28" spans="1:11" ht="12.95" customHeight="1" x14ac:dyDescent="0.2">
      <c r="A28" s="17"/>
      <c r="B28" s="79"/>
      <c r="D28" s="85" t="s">
        <v>792</v>
      </c>
      <c r="G28" s="24"/>
      <c r="H28" s="12">
        <f>ROUND(H27,2)/100</f>
        <v>0.2223</v>
      </c>
      <c r="I28" s="78"/>
      <c r="J28" s="24"/>
    </row>
    <row r="29" spans="1:11" ht="12.95" customHeight="1" x14ac:dyDescent="0.2">
      <c r="A29" s="17"/>
      <c r="B29" s="79"/>
      <c r="C29" s="19"/>
      <c r="D29" s="19"/>
      <c r="G29" s="20"/>
      <c r="H29" s="20"/>
      <c r="I29" s="78"/>
      <c r="J29" s="13"/>
    </row>
    <row r="30" spans="1:11" ht="12.95" customHeight="1" x14ac:dyDescent="0.2">
      <c r="A30" s="17"/>
      <c r="B30" s="79"/>
      <c r="C30" s="19"/>
      <c r="D30" s="19"/>
      <c r="G30" s="20"/>
      <c r="H30" s="20"/>
      <c r="I30" s="78"/>
      <c r="J30" s="13"/>
    </row>
    <row r="31" spans="1:11" ht="12.95" customHeight="1" x14ac:dyDescent="0.2">
      <c r="A31" s="17"/>
      <c r="B31" s="79"/>
      <c r="C31" s="19"/>
      <c r="D31" s="19"/>
      <c r="G31" s="20"/>
      <c r="H31" s="25"/>
      <c r="I31" s="88"/>
      <c r="J31" s="25"/>
    </row>
    <row r="32" spans="1:11" ht="12.95" customHeight="1" x14ac:dyDescent="0.2">
      <c r="A32" s="17"/>
      <c r="B32" s="79"/>
      <c r="C32" s="19" t="s">
        <v>793</v>
      </c>
      <c r="D32" s="19"/>
      <c r="G32" s="20"/>
      <c r="H32" s="20"/>
      <c r="I32" s="78"/>
      <c r="J32" s="20"/>
    </row>
    <row r="33" spans="1:19" ht="12.95" customHeight="1" x14ac:dyDescent="0.2">
      <c r="A33" s="17"/>
      <c r="B33" s="79"/>
      <c r="C33" s="19"/>
      <c r="D33" s="19"/>
      <c r="G33" s="20"/>
      <c r="H33" s="20"/>
      <c r="I33" s="78"/>
      <c r="J33" s="20"/>
      <c r="M33" s="14"/>
    </row>
    <row r="34" spans="1:19" ht="12.95" customHeight="1" x14ac:dyDescent="0.2">
      <c r="A34" s="17"/>
      <c r="B34" s="79"/>
      <c r="C34" s="80" t="s">
        <v>778</v>
      </c>
      <c r="D34" s="19"/>
      <c r="G34" s="20"/>
      <c r="H34" s="21">
        <f>SUM(H35:H37)</f>
        <v>2.3599999999999999E-2</v>
      </c>
      <c r="I34" s="78"/>
      <c r="J34" s="20"/>
    </row>
    <row r="35" spans="1:19" ht="12.95" customHeight="1" x14ac:dyDescent="0.2">
      <c r="A35" s="17"/>
      <c r="B35" s="79"/>
      <c r="C35" s="82"/>
      <c r="D35" s="19" t="s">
        <v>779</v>
      </c>
      <c r="G35" s="22"/>
      <c r="H35" s="22">
        <v>1.4999999999999999E-2</v>
      </c>
      <c r="I35" s="78"/>
      <c r="J35" s="20"/>
    </row>
    <row r="36" spans="1:19" ht="12.95" customHeight="1" x14ac:dyDescent="0.2">
      <c r="A36" s="17"/>
      <c r="B36" s="79"/>
      <c r="C36" s="82"/>
      <c r="D36" s="19" t="s">
        <v>780</v>
      </c>
      <c r="G36" s="22"/>
      <c r="H36" s="22">
        <v>3.0000000000000001E-3</v>
      </c>
      <c r="I36" s="78"/>
      <c r="J36" s="20"/>
    </row>
    <row r="37" spans="1:19" ht="12.95" customHeight="1" x14ac:dyDescent="0.2">
      <c r="A37" s="17"/>
      <c r="B37" s="79"/>
      <c r="C37" s="82"/>
      <c r="D37" s="19" t="s">
        <v>794</v>
      </c>
      <c r="G37" s="22"/>
      <c r="H37" s="22">
        <v>5.5999999999999999E-3</v>
      </c>
      <c r="I37" s="78"/>
      <c r="J37" s="20"/>
    </row>
    <row r="38" spans="1:19" ht="12.95" customHeight="1" x14ac:dyDescent="0.2">
      <c r="A38" s="17"/>
      <c r="B38" s="79"/>
      <c r="C38" s="82"/>
      <c r="D38" s="19"/>
      <c r="G38" s="22"/>
      <c r="H38" s="22"/>
      <c r="I38" s="78"/>
      <c r="J38" s="20"/>
    </row>
    <row r="39" spans="1:19" ht="12.95" customHeight="1" x14ac:dyDescent="0.2">
      <c r="A39" s="17"/>
      <c r="B39" s="79"/>
      <c r="C39" s="83" t="s">
        <v>782</v>
      </c>
      <c r="D39" s="19"/>
      <c r="G39" s="22"/>
      <c r="H39" s="21">
        <v>8.5000000000000006E-3</v>
      </c>
      <c r="I39" s="78"/>
      <c r="J39" s="20"/>
    </row>
    <row r="40" spans="1:19" ht="12.95" customHeight="1" x14ac:dyDescent="0.2">
      <c r="A40" s="17"/>
      <c r="B40" s="79"/>
      <c r="C40" s="82"/>
      <c r="D40" s="19"/>
      <c r="G40" s="22"/>
      <c r="H40" s="22"/>
      <c r="I40" s="78"/>
      <c r="J40" s="20"/>
      <c r="L40" s="11"/>
      <c r="M40" s="15"/>
      <c r="N40" s="26"/>
      <c r="O40" s="26"/>
      <c r="P40" s="26"/>
      <c r="Q40" s="27"/>
      <c r="R40" s="27"/>
      <c r="S40" s="27"/>
    </row>
    <row r="41" spans="1:19" ht="12.95" customHeight="1" x14ac:dyDescent="0.2">
      <c r="A41" s="17"/>
      <c r="B41" s="79"/>
      <c r="C41" s="83" t="s">
        <v>783</v>
      </c>
      <c r="D41" s="19"/>
      <c r="G41" s="22"/>
      <c r="H41" s="21">
        <v>3.5000000000000003E-2</v>
      </c>
      <c r="I41" s="78"/>
      <c r="J41" s="20"/>
      <c r="L41" s="11"/>
      <c r="M41" s="15"/>
      <c r="N41" s="26"/>
      <c r="O41" s="26"/>
      <c r="P41" s="26"/>
      <c r="Q41" s="27"/>
      <c r="R41" s="27"/>
      <c r="S41" s="27"/>
    </row>
    <row r="42" spans="1:19" ht="12.95" customHeight="1" x14ac:dyDescent="0.2">
      <c r="A42" s="17"/>
      <c r="B42" s="79"/>
      <c r="C42" s="82"/>
      <c r="I42" s="78"/>
      <c r="J42" s="20"/>
      <c r="L42" s="11"/>
      <c r="M42" s="15"/>
      <c r="N42" s="26"/>
      <c r="O42" s="26"/>
      <c r="P42" s="26"/>
      <c r="Q42" s="27"/>
      <c r="R42" s="27"/>
      <c r="S42" s="27"/>
    </row>
    <row r="43" spans="1:19" ht="12.95" customHeight="1" x14ac:dyDescent="0.2">
      <c r="A43" s="17"/>
      <c r="B43" s="79"/>
      <c r="C43" s="83" t="s">
        <v>784</v>
      </c>
      <c r="D43" s="19"/>
      <c r="G43" s="22"/>
      <c r="H43" s="21">
        <f>SUM(H44:H47)</f>
        <v>5.6499999999999995E-2</v>
      </c>
      <c r="I43" s="78"/>
      <c r="J43" s="20"/>
      <c r="L43" s="11"/>
      <c r="M43" s="15"/>
      <c r="N43" s="26"/>
      <c r="O43" s="26"/>
      <c r="P43" s="26"/>
      <c r="Q43" s="27"/>
      <c r="R43" s="27"/>
      <c r="S43" s="27"/>
    </row>
    <row r="44" spans="1:19" ht="12.95" customHeight="1" x14ac:dyDescent="0.2">
      <c r="A44" s="17"/>
      <c r="B44" s="79"/>
      <c r="C44" s="82"/>
      <c r="D44" s="19" t="s">
        <v>785</v>
      </c>
      <c r="G44" s="22"/>
      <c r="H44" s="22">
        <v>6.4999999999999997E-3</v>
      </c>
      <c r="I44" s="78"/>
      <c r="J44" s="20"/>
      <c r="L44" s="11"/>
      <c r="M44" s="15"/>
      <c r="N44" s="26"/>
      <c r="O44" s="26"/>
      <c r="P44" s="26"/>
      <c r="Q44" s="27"/>
      <c r="R44" s="27"/>
      <c r="S44" s="27"/>
    </row>
    <row r="45" spans="1:19" ht="12.95" customHeight="1" x14ac:dyDescent="0.2">
      <c r="A45" s="17"/>
      <c r="B45" s="79"/>
      <c r="C45" s="82"/>
      <c r="D45" s="19" t="s">
        <v>786</v>
      </c>
      <c r="G45" s="22"/>
      <c r="H45" s="22">
        <v>0.03</v>
      </c>
      <c r="I45" s="78"/>
      <c r="J45" s="20"/>
      <c r="L45" s="11"/>
      <c r="M45" s="15"/>
      <c r="N45" s="26"/>
      <c r="O45" s="26"/>
      <c r="P45" s="26"/>
      <c r="Q45" s="27"/>
      <c r="R45" s="27"/>
      <c r="S45" s="27"/>
    </row>
    <row r="46" spans="1:19" ht="12.95" customHeight="1" x14ac:dyDescent="0.2">
      <c r="A46" s="17"/>
      <c r="B46" s="79"/>
      <c r="C46" s="82"/>
      <c r="D46" s="19" t="s">
        <v>787</v>
      </c>
      <c r="G46" s="22"/>
      <c r="H46" s="22">
        <v>0.02</v>
      </c>
      <c r="I46" s="78"/>
      <c r="J46" s="20"/>
      <c r="L46" s="11"/>
      <c r="M46" s="15"/>
      <c r="N46" s="26"/>
      <c r="O46" s="26"/>
      <c r="P46" s="26"/>
      <c r="Q46" s="27"/>
      <c r="R46" s="27"/>
      <c r="S46" s="27"/>
    </row>
    <row r="47" spans="1:19" ht="12.95" customHeight="1" x14ac:dyDescent="0.2">
      <c r="A47" s="17"/>
      <c r="B47" s="79"/>
      <c r="C47" s="82"/>
      <c r="D47" s="19" t="s">
        <v>788</v>
      </c>
      <c r="G47" s="22"/>
      <c r="H47" s="22">
        <v>0</v>
      </c>
      <c r="I47" s="78"/>
      <c r="J47" s="20"/>
      <c r="L47" s="11"/>
      <c r="M47" s="15"/>
      <c r="N47" s="26"/>
      <c r="O47" s="26"/>
      <c r="P47" s="26"/>
      <c r="Q47" s="27"/>
      <c r="R47" s="27"/>
      <c r="S47" s="27"/>
    </row>
    <row r="48" spans="1:19" ht="12.95" customHeight="1" x14ac:dyDescent="0.2">
      <c r="A48" s="17"/>
      <c r="B48" s="79"/>
      <c r="C48" s="19"/>
      <c r="D48" s="19"/>
      <c r="G48" s="22"/>
      <c r="H48" s="22"/>
      <c r="I48" s="78"/>
      <c r="J48" s="20"/>
      <c r="L48" s="11"/>
      <c r="M48" s="15"/>
      <c r="N48" s="26"/>
      <c r="O48" s="26"/>
      <c r="P48" s="26"/>
      <c r="Q48" s="27"/>
      <c r="R48" s="27"/>
      <c r="S48" s="27"/>
    </row>
    <row r="49" spans="1:10" ht="12.95" customHeight="1" x14ac:dyDescent="0.2">
      <c r="A49" s="17"/>
      <c r="B49" s="79"/>
      <c r="D49" s="85" t="s">
        <v>789</v>
      </c>
      <c r="G49" s="24"/>
      <c r="I49" s="78"/>
      <c r="J49" s="20"/>
    </row>
    <row r="50" spans="1:10" ht="12.95" customHeight="1" x14ac:dyDescent="0.2">
      <c r="A50" s="17"/>
      <c r="B50" s="79"/>
      <c r="C50" s="85" t="s">
        <v>790</v>
      </c>
      <c r="D50" s="86" t="s">
        <v>791</v>
      </c>
      <c r="G50" s="24"/>
      <c r="H50" s="89">
        <f>100*(((1+H34)*(1+H39)*(1+H41))/(1-H43)-1)</f>
        <v>13.241242289348175</v>
      </c>
      <c r="I50" s="78"/>
      <c r="J50" s="20"/>
    </row>
    <row r="51" spans="1:10" ht="12.95" customHeight="1" x14ac:dyDescent="0.2">
      <c r="A51" s="17"/>
      <c r="B51" s="79"/>
      <c r="D51" s="85" t="s">
        <v>795</v>
      </c>
      <c r="G51" s="24"/>
      <c r="H51" s="12">
        <f>ROUND(H50,2)/100</f>
        <v>0.13239999999999999</v>
      </c>
      <c r="I51" s="78"/>
      <c r="J51" s="20"/>
    </row>
    <row r="52" spans="1:10" ht="12.95" customHeight="1" x14ac:dyDescent="0.2">
      <c r="A52" s="17"/>
      <c r="B52" s="79"/>
      <c r="C52" s="19"/>
      <c r="D52" s="19"/>
      <c r="G52" s="20"/>
      <c r="H52" s="20"/>
      <c r="I52" s="78"/>
      <c r="J52" s="20"/>
    </row>
    <row r="53" spans="1:10" ht="12.95" customHeight="1" x14ac:dyDescent="0.2">
      <c r="B53" s="90"/>
      <c r="I53" s="91"/>
    </row>
    <row r="54" spans="1:10" ht="12.95" customHeight="1" x14ac:dyDescent="0.2">
      <c r="B54" s="90"/>
      <c r="C54" s="17" t="s">
        <v>796</v>
      </c>
      <c r="I54" s="91"/>
    </row>
    <row r="55" spans="1:10" ht="12.95" customHeight="1" thickBot="1" x14ac:dyDescent="0.25">
      <c r="B55" s="92"/>
      <c r="C55" s="93"/>
      <c r="D55" s="93"/>
      <c r="E55" s="93"/>
      <c r="F55" s="93"/>
      <c r="G55" s="94"/>
      <c r="H55" s="94"/>
      <c r="I55" s="95"/>
    </row>
    <row r="56" spans="1:10" ht="12.95" customHeight="1" x14ac:dyDescent="0.2"/>
    <row r="57" spans="1:10" ht="6" customHeight="1" x14ac:dyDescent="0.2"/>
    <row r="58" spans="1:10" ht="12.95" customHeight="1" x14ac:dyDescent="0.2">
      <c r="B58" s="350" t="s">
        <v>767</v>
      </c>
      <c r="C58" s="350"/>
      <c r="D58" s="350"/>
      <c r="E58" s="350"/>
      <c r="F58" s="350"/>
      <c r="G58" s="350"/>
      <c r="H58" s="350"/>
      <c r="I58" s="350"/>
    </row>
    <row r="59" spans="1:10" ht="12.95" customHeight="1" x14ac:dyDescent="0.2">
      <c r="B59" s="350" t="s">
        <v>768</v>
      </c>
      <c r="C59" s="350"/>
      <c r="D59" s="350"/>
      <c r="E59" s="350"/>
      <c r="F59" s="350"/>
      <c r="G59" s="350"/>
      <c r="H59" s="350"/>
      <c r="I59" s="350"/>
    </row>
    <row r="60" spans="1:10" ht="12.95" customHeight="1" x14ac:dyDescent="0.2">
      <c r="B60" s="108" t="s">
        <v>769</v>
      </c>
      <c r="C60" s="108"/>
      <c r="D60" s="108"/>
      <c r="E60" s="101"/>
      <c r="F60" s="101"/>
      <c r="G60" s="102"/>
      <c r="H60" s="102"/>
      <c r="I60" s="109"/>
    </row>
    <row r="61" spans="1:10" ht="12.95" customHeight="1" x14ac:dyDescent="0.2">
      <c r="B61" s="108" t="s">
        <v>770</v>
      </c>
      <c r="C61" s="108"/>
      <c r="D61" s="108"/>
      <c r="E61" s="103"/>
      <c r="F61" s="103"/>
      <c r="G61" s="104"/>
      <c r="H61" s="104"/>
      <c r="I61" s="104"/>
      <c r="J61" s="18"/>
    </row>
    <row r="62" spans="1:10" ht="15.95" customHeight="1" x14ac:dyDescent="0.2">
      <c r="B62" s="108" t="s">
        <v>810</v>
      </c>
      <c r="C62" s="108"/>
      <c r="D62" s="108"/>
      <c r="E62" s="103"/>
      <c r="F62" s="103"/>
      <c r="G62" s="104"/>
      <c r="H62" s="104"/>
      <c r="I62" s="104"/>
      <c r="J62" s="18"/>
    </row>
    <row r="63" spans="1:10" ht="15.95" customHeight="1" thickBot="1" x14ac:dyDescent="0.25">
      <c r="B63" s="108" t="s">
        <v>797</v>
      </c>
      <c r="C63" s="108"/>
      <c r="D63" s="108"/>
      <c r="E63" s="103"/>
      <c r="F63" s="103"/>
      <c r="G63" s="104"/>
      <c r="H63" s="109"/>
      <c r="I63" s="109"/>
      <c r="J63" s="18"/>
    </row>
    <row r="64" spans="1:10" ht="12.95" customHeight="1" thickBot="1" x14ac:dyDescent="0.25">
      <c r="B64" s="110"/>
      <c r="C64" s="111"/>
      <c r="D64" s="106"/>
      <c r="E64" s="111"/>
      <c r="F64" s="111"/>
      <c r="G64" s="112"/>
      <c r="H64" s="112"/>
      <c r="I64" s="113"/>
      <c r="J64" s="18"/>
    </row>
    <row r="65" spans="1:10" ht="12.95" customHeight="1" thickBot="1" x14ac:dyDescent="0.25">
      <c r="A65" s="17"/>
      <c r="B65" s="96"/>
      <c r="C65" s="97" t="s">
        <v>777</v>
      </c>
      <c r="D65" s="97"/>
      <c r="E65" s="98"/>
      <c r="F65" s="98"/>
      <c r="G65" s="99"/>
      <c r="H65" s="99"/>
      <c r="I65" s="100"/>
      <c r="J65" s="18"/>
    </row>
    <row r="66" spans="1:10" ht="12.95" customHeight="1" x14ac:dyDescent="0.2">
      <c r="A66" s="17"/>
      <c r="B66" s="79"/>
      <c r="C66" s="19"/>
      <c r="D66" s="19"/>
      <c r="G66" s="20"/>
      <c r="H66" s="20"/>
      <c r="I66" s="78"/>
      <c r="J66" s="18"/>
    </row>
    <row r="67" spans="1:10" ht="12.95" customHeight="1" x14ac:dyDescent="0.2">
      <c r="A67" s="17"/>
      <c r="B67" s="79"/>
      <c r="C67" s="80" t="s">
        <v>778</v>
      </c>
      <c r="D67" s="19"/>
      <c r="G67" s="20"/>
      <c r="H67" s="21">
        <f>SUM(H68:H70)</f>
        <v>4.7699999999999999E-2</v>
      </c>
      <c r="I67" s="81"/>
      <c r="J67" s="18"/>
    </row>
    <row r="68" spans="1:10" ht="12.95" customHeight="1" x14ac:dyDescent="0.2">
      <c r="A68" s="17"/>
      <c r="B68" s="79"/>
      <c r="C68" s="82"/>
      <c r="D68" s="19" t="s">
        <v>779</v>
      </c>
      <c r="G68" s="22"/>
      <c r="H68" s="22">
        <v>0.03</v>
      </c>
      <c r="I68" s="78"/>
      <c r="J68" s="18"/>
    </row>
    <row r="69" spans="1:10" ht="12.95" customHeight="1" x14ac:dyDescent="0.2">
      <c r="A69" s="17"/>
      <c r="B69" s="79"/>
      <c r="C69" s="82"/>
      <c r="D69" s="19" t="s">
        <v>780</v>
      </c>
      <c r="G69" s="22"/>
      <c r="H69" s="22">
        <v>8.0000000000000002E-3</v>
      </c>
      <c r="I69" s="78"/>
      <c r="J69" s="18"/>
    </row>
    <row r="70" spans="1:10" ht="12.95" customHeight="1" x14ac:dyDescent="0.2">
      <c r="A70" s="17"/>
      <c r="B70" s="79"/>
      <c r="C70" s="82"/>
      <c r="D70" s="19" t="s">
        <v>781</v>
      </c>
      <c r="G70" s="22"/>
      <c r="H70" s="22">
        <v>9.7000000000000003E-3</v>
      </c>
      <c r="I70" s="78"/>
      <c r="J70" s="18"/>
    </row>
    <row r="71" spans="1:10" ht="12.95" customHeight="1" x14ac:dyDescent="0.2">
      <c r="A71" s="17"/>
      <c r="B71" s="79"/>
      <c r="C71" s="82"/>
      <c r="D71" s="19"/>
      <c r="G71" s="22"/>
      <c r="H71" s="22"/>
      <c r="I71" s="78"/>
      <c r="J71" s="18"/>
    </row>
    <row r="72" spans="1:10" ht="12.95" customHeight="1" x14ac:dyDescent="0.2">
      <c r="A72" s="17"/>
      <c r="B72" s="79"/>
      <c r="C72" s="83" t="s">
        <v>782</v>
      </c>
      <c r="D72" s="19"/>
      <c r="G72" s="22"/>
      <c r="H72" s="21">
        <v>5.8999999999999999E-3</v>
      </c>
      <c r="I72" s="78"/>
      <c r="J72" s="18"/>
    </row>
    <row r="73" spans="1:10" ht="12.95" customHeight="1" x14ac:dyDescent="0.2">
      <c r="A73" s="17"/>
      <c r="B73" s="79"/>
      <c r="C73" s="82"/>
      <c r="D73" s="19"/>
      <c r="G73" s="22"/>
      <c r="H73" s="22"/>
      <c r="I73" s="78"/>
      <c r="J73" s="18"/>
    </row>
    <row r="74" spans="1:10" ht="12.95" customHeight="1" x14ac:dyDescent="0.2">
      <c r="A74" s="17"/>
      <c r="B74" s="79"/>
      <c r="C74" s="83" t="s">
        <v>783</v>
      </c>
      <c r="D74" s="19"/>
      <c r="G74" s="22"/>
      <c r="H74" s="21">
        <v>6.6000000000000003E-2</v>
      </c>
      <c r="I74" s="78"/>
      <c r="J74" s="18"/>
    </row>
    <row r="75" spans="1:10" ht="12.95" customHeight="1" x14ac:dyDescent="0.2">
      <c r="A75" s="17"/>
      <c r="B75" s="79"/>
      <c r="C75" s="82"/>
      <c r="I75" s="84"/>
      <c r="J75" s="18"/>
    </row>
    <row r="76" spans="1:10" ht="12.95" customHeight="1" x14ac:dyDescent="0.2">
      <c r="A76" s="17"/>
      <c r="B76" s="79"/>
      <c r="C76" s="83" t="s">
        <v>784</v>
      </c>
      <c r="D76" s="19"/>
      <c r="G76" s="22"/>
      <c r="H76" s="21">
        <f>SUM(H77:H80)</f>
        <v>0.10149999999999999</v>
      </c>
      <c r="I76" s="84"/>
      <c r="J76" s="18"/>
    </row>
    <row r="77" spans="1:10" ht="12.95" customHeight="1" x14ac:dyDescent="0.2">
      <c r="A77" s="17"/>
      <c r="B77" s="79"/>
      <c r="C77" s="82"/>
      <c r="D77" s="19" t="s">
        <v>785</v>
      </c>
      <c r="G77" s="22"/>
      <c r="H77" s="22">
        <v>6.4999999999999997E-3</v>
      </c>
      <c r="I77" s="78"/>
      <c r="J77" s="18"/>
    </row>
    <row r="78" spans="1:10" ht="12.95" customHeight="1" x14ac:dyDescent="0.2">
      <c r="A78" s="17"/>
      <c r="B78" s="79"/>
      <c r="C78" s="82"/>
      <c r="D78" s="19" t="s">
        <v>786</v>
      </c>
      <c r="G78" s="22"/>
      <c r="H78" s="22">
        <v>0.03</v>
      </c>
      <c r="I78" s="78"/>
      <c r="J78" s="18"/>
    </row>
    <row r="79" spans="1:10" ht="12.95" customHeight="1" x14ac:dyDescent="0.2">
      <c r="A79" s="17"/>
      <c r="B79" s="79"/>
      <c r="C79" s="82"/>
      <c r="D79" s="19" t="s">
        <v>787</v>
      </c>
      <c r="G79" s="22"/>
      <c r="H79" s="22">
        <v>0.02</v>
      </c>
      <c r="I79" s="78"/>
      <c r="J79" s="18"/>
    </row>
    <row r="80" spans="1:10" ht="12.95" customHeight="1" x14ac:dyDescent="0.2">
      <c r="A80" s="17"/>
      <c r="B80" s="79"/>
      <c r="C80" s="82"/>
      <c r="D80" s="19" t="s">
        <v>788</v>
      </c>
      <c r="G80" s="22"/>
      <c r="H80" s="22">
        <v>4.4999999999999998E-2</v>
      </c>
      <c r="I80" s="78"/>
      <c r="J80" s="18"/>
    </row>
    <row r="81" spans="1:10" ht="12.95" customHeight="1" x14ac:dyDescent="0.2">
      <c r="A81" s="17"/>
      <c r="B81" s="79"/>
      <c r="C81" s="19"/>
      <c r="D81" s="19"/>
      <c r="G81" s="22"/>
      <c r="H81" s="22"/>
      <c r="I81" s="78"/>
      <c r="J81" s="18"/>
    </row>
    <row r="82" spans="1:10" ht="12.95" customHeight="1" x14ac:dyDescent="0.2">
      <c r="A82" s="17"/>
      <c r="B82" s="79"/>
      <c r="D82" s="85" t="s">
        <v>789</v>
      </c>
      <c r="G82" s="24"/>
      <c r="I82" s="78"/>
      <c r="J82" s="18"/>
    </row>
    <row r="83" spans="1:10" ht="12.95" customHeight="1" x14ac:dyDescent="0.2">
      <c r="A83" s="17"/>
      <c r="B83" s="79"/>
      <c r="C83" s="85" t="s">
        <v>790</v>
      </c>
      <c r="D83" s="86" t="s">
        <v>791</v>
      </c>
      <c r="G83" s="24"/>
      <c r="H83" s="24">
        <f>100*(((1+H67)*(1+H72)*(1+H74))/(1-H76)-1)</f>
        <v>25.034791806343936</v>
      </c>
      <c r="I83" s="78"/>
      <c r="J83" s="18"/>
    </row>
    <row r="84" spans="1:10" ht="12.95" customHeight="1" x14ac:dyDescent="0.2">
      <c r="A84" s="17"/>
      <c r="B84" s="79"/>
      <c r="D84" s="85" t="s">
        <v>792</v>
      </c>
      <c r="G84" s="24"/>
      <c r="H84" s="29">
        <f>ROUND(H83,2)/100</f>
        <v>0.25030000000000002</v>
      </c>
      <c r="I84" s="78"/>
      <c r="J84" s="18"/>
    </row>
    <row r="85" spans="1:10" ht="12.95" customHeight="1" x14ac:dyDescent="0.2">
      <c r="A85" s="17"/>
      <c r="B85" s="79"/>
      <c r="C85" s="19"/>
      <c r="D85" s="19"/>
      <c r="G85" s="20"/>
      <c r="H85" s="20"/>
      <c r="I85" s="78"/>
      <c r="J85" s="18"/>
    </row>
    <row r="86" spans="1:10" ht="12.95" customHeight="1" x14ac:dyDescent="0.2">
      <c r="A86" s="17"/>
      <c r="B86" s="79"/>
      <c r="C86" s="19"/>
      <c r="D86" s="19"/>
      <c r="G86" s="20"/>
      <c r="H86" s="25"/>
      <c r="I86" s="88"/>
      <c r="J86" s="18"/>
    </row>
    <row r="87" spans="1:10" ht="12.95" customHeight="1" x14ac:dyDescent="0.2">
      <c r="A87" s="17"/>
      <c r="B87" s="79"/>
      <c r="C87" s="19"/>
      <c r="D87" s="19"/>
      <c r="G87" s="20"/>
      <c r="H87" s="20"/>
      <c r="I87" s="78"/>
      <c r="J87" s="18"/>
    </row>
    <row r="88" spans="1:10" ht="12.95" customHeight="1" x14ac:dyDescent="0.2">
      <c r="A88" s="17"/>
      <c r="B88" s="79"/>
      <c r="C88" s="19" t="s">
        <v>793</v>
      </c>
      <c r="D88" s="19"/>
      <c r="G88" s="20"/>
      <c r="H88" s="20"/>
      <c r="I88" s="78"/>
      <c r="J88" s="18"/>
    </row>
    <row r="89" spans="1:10" ht="12.95" customHeight="1" x14ac:dyDescent="0.2">
      <c r="A89" s="17"/>
      <c r="B89" s="79"/>
      <c r="C89" s="19"/>
      <c r="D89" s="19"/>
      <c r="G89" s="20"/>
      <c r="H89" s="20"/>
      <c r="I89" s="78"/>
      <c r="J89" s="18"/>
    </row>
    <row r="90" spans="1:10" ht="12.95" customHeight="1" x14ac:dyDescent="0.2">
      <c r="A90" s="17"/>
      <c r="B90" s="79"/>
      <c r="C90" s="80" t="s">
        <v>778</v>
      </c>
      <c r="D90" s="19"/>
      <c r="G90" s="20"/>
      <c r="H90" s="21">
        <f>SUM(H91:H93)</f>
        <v>2.3599999999999999E-2</v>
      </c>
      <c r="I90" s="78"/>
      <c r="J90" s="18"/>
    </row>
    <row r="91" spans="1:10" ht="12.95" customHeight="1" x14ac:dyDescent="0.2">
      <c r="A91" s="17"/>
      <c r="B91" s="79"/>
      <c r="C91" s="82"/>
      <c r="D91" s="19" t="s">
        <v>779</v>
      </c>
      <c r="G91" s="22"/>
      <c r="H91" s="22">
        <v>1.4999999999999999E-2</v>
      </c>
      <c r="I91" s="78"/>
      <c r="J91" s="18"/>
    </row>
    <row r="92" spans="1:10" ht="12.95" customHeight="1" x14ac:dyDescent="0.2">
      <c r="A92" s="17"/>
      <c r="B92" s="79"/>
      <c r="C92" s="82"/>
      <c r="D92" s="19" t="s">
        <v>780</v>
      </c>
      <c r="G92" s="22"/>
      <c r="H92" s="22">
        <v>3.0000000000000001E-3</v>
      </c>
      <c r="I92" s="78"/>
      <c r="J92" s="18"/>
    </row>
    <row r="93" spans="1:10" ht="12.95" customHeight="1" x14ac:dyDescent="0.2">
      <c r="A93" s="17"/>
      <c r="B93" s="79"/>
      <c r="C93" s="82"/>
      <c r="D93" s="19" t="s">
        <v>794</v>
      </c>
      <c r="G93" s="22"/>
      <c r="H93" s="22">
        <v>5.5999999999999999E-3</v>
      </c>
      <c r="I93" s="78"/>
      <c r="J93" s="18"/>
    </row>
    <row r="94" spans="1:10" ht="12.95" customHeight="1" x14ac:dyDescent="0.2">
      <c r="A94" s="17"/>
      <c r="B94" s="79"/>
      <c r="C94" s="82"/>
      <c r="D94" s="19"/>
      <c r="G94" s="22"/>
      <c r="H94" s="22"/>
      <c r="I94" s="78"/>
      <c r="J94" s="18"/>
    </row>
    <row r="95" spans="1:10" ht="12.95" customHeight="1" x14ac:dyDescent="0.2">
      <c r="A95" s="17"/>
      <c r="B95" s="79"/>
      <c r="C95" s="83" t="s">
        <v>782</v>
      </c>
      <c r="D95" s="19"/>
      <c r="G95" s="22"/>
      <c r="H95" s="21">
        <v>8.5000000000000006E-3</v>
      </c>
      <c r="I95" s="78"/>
      <c r="J95" s="18"/>
    </row>
    <row r="96" spans="1:10" ht="12.95" customHeight="1" x14ac:dyDescent="0.2">
      <c r="A96" s="17"/>
      <c r="B96" s="79"/>
      <c r="C96" s="82"/>
      <c r="D96" s="19"/>
      <c r="G96" s="22"/>
      <c r="H96" s="22"/>
      <c r="I96" s="78"/>
      <c r="J96" s="18"/>
    </row>
    <row r="97" spans="1:10" ht="12.95" customHeight="1" x14ac:dyDescent="0.2">
      <c r="A97" s="17"/>
      <c r="B97" s="79"/>
      <c r="C97" s="83" t="s">
        <v>783</v>
      </c>
      <c r="D97" s="19"/>
      <c r="G97" s="22"/>
      <c r="H97" s="21">
        <v>3.5000000000000003E-2</v>
      </c>
      <c r="I97" s="78"/>
      <c r="J97" s="18"/>
    </row>
    <row r="98" spans="1:10" ht="12.95" customHeight="1" x14ac:dyDescent="0.2">
      <c r="A98" s="17"/>
      <c r="B98" s="79"/>
      <c r="C98" s="82"/>
      <c r="I98" s="78"/>
      <c r="J98" s="18"/>
    </row>
    <row r="99" spans="1:10" ht="12.95" customHeight="1" x14ac:dyDescent="0.2">
      <c r="A99" s="17"/>
      <c r="B99" s="79"/>
      <c r="C99" s="83" t="s">
        <v>784</v>
      </c>
      <c r="D99" s="19"/>
      <c r="G99" s="22"/>
      <c r="H99" s="21">
        <f>SUM(H100:H103)</f>
        <v>0.10149999999999999</v>
      </c>
      <c r="I99" s="78"/>
      <c r="J99" s="18"/>
    </row>
    <row r="100" spans="1:10" ht="12.95" customHeight="1" x14ac:dyDescent="0.2">
      <c r="A100" s="17"/>
      <c r="B100" s="79"/>
      <c r="C100" s="82"/>
      <c r="D100" s="19" t="s">
        <v>785</v>
      </c>
      <c r="G100" s="22"/>
      <c r="H100" s="22">
        <v>6.4999999999999997E-3</v>
      </c>
      <c r="I100" s="78"/>
      <c r="J100" s="18"/>
    </row>
    <row r="101" spans="1:10" ht="12.95" customHeight="1" x14ac:dyDescent="0.2">
      <c r="A101" s="17"/>
      <c r="B101" s="79"/>
      <c r="C101" s="82"/>
      <c r="D101" s="19" t="s">
        <v>786</v>
      </c>
      <c r="G101" s="22"/>
      <c r="H101" s="22">
        <v>0.03</v>
      </c>
      <c r="I101" s="78"/>
      <c r="J101" s="18"/>
    </row>
    <row r="102" spans="1:10" ht="12.95" customHeight="1" x14ac:dyDescent="0.2">
      <c r="A102" s="17"/>
      <c r="B102" s="79"/>
      <c r="C102" s="82"/>
      <c r="D102" s="19" t="s">
        <v>787</v>
      </c>
      <c r="G102" s="22"/>
      <c r="H102" s="22">
        <v>0.02</v>
      </c>
      <c r="I102" s="78"/>
      <c r="J102" s="18"/>
    </row>
    <row r="103" spans="1:10" ht="12.95" customHeight="1" x14ac:dyDescent="0.2">
      <c r="A103" s="17"/>
      <c r="B103" s="79"/>
      <c r="C103" s="82"/>
      <c r="D103" s="19" t="s">
        <v>788</v>
      </c>
      <c r="G103" s="22"/>
      <c r="H103" s="22">
        <v>4.4999999999999998E-2</v>
      </c>
      <c r="I103" s="78"/>
      <c r="J103" s="18"/>
    </row>
    <row r="104" spans="1:10" ht="12.95" customHeight="1" x14ac:dyDescent="0.2">
      <c r="A104" s="17"/>
      <c r="B104" s="79"/>
      <c r="C104" s="19"/>
      <c r="D104" s="19"/>
      <c r="G104" s="22"/>
      <c r="H104" s="22"/>
      <c r="I104" s="78"/>
      <c r="J104" s="18"/>
    </row>
    <row r="105" spans="1:10" ht="12.95" customHeight="1" x14ac:dyDescent="0.2">
      <c r="A105" s="17"/>
      <c r="B105" s="79"/>
      <c r="D105" s="85" t="s">
        <v>789</v>
      </c>
      <c r="G105" s="24"/>
      <c r="I105" s="78"/>
      <c r="J105" s="18"/>
    </row>
    <row r="106" spans="1:10" ht="12.95" customHeight="1" x14ac:dyDescent="0.2">
      <c r="A106" s="17"/>
      <c r="B106" s="79"/>
      <c r="C106" s="85" t="s">
        <v>790</v>
      </c>
      <c r="D106" s="86" t="s">
        <v>791</v>
      </c>
      <c r="G106" s="24"/>
      <c r="H106" s="24">
        <f>100*(((1+H90)*(1+H95)*(1+H97))/(1-H99)-1)</f>
        <v>18.912756928213703</v>
      </c>
      <c r="I106" s="78"/>
      <c r="J106" s="18"/>
    </row>
    <row r="107" spans="1:10" ht="12.95" customHeight="1" x14ac:dyDescent="0.2">
      <c r="A107" s="17"/>
      <c r="B107" s="79"/>
      <c r="D107" s="85" t="s">
        <v>795</v>
      </c>
      <c r="G107" s="24"/>
      <c r="H107" s="12">
        <f>ROUND(H106,2)/100</f>
        <v>0.18909999999999999</v>
      </c>
      <c r="I107" s="78"/>
      <c r="J107" s="18"/>
    </row>
    <row r="108" spans="1:10" ht="12.95" customHeight="1" x14ac:dyDescent="0.2">
      <c r="A108" s="17"/>
      <c r="B108" s="79"/>
      <c r="C108" s="19"/>
      <c r="D108" s="19"/>
      <c r="G108" s="20"/>
      <c r="H108" s="20"/>
      <c r="I108" s="78"/>
      <c r="J108" s="18"/>
    </row>
    <row r="109" spans="1:10" ht="12.95" customHeight="1" x14ac:dyDescent="0.2">
      <c r="B109" s="90"/>
      <c r="I109" s="91"/>
      <c r="J109" s="18"/>
    </row>
    <row r="110" spans="1:10" ht="12.95" customHeight="1" x14ac:dyDescent="0.2">
      <c r="B110" s="90"/>
      <c r="C110" s="17" t="s">
        <v>796</v>
      </c>
      <c r="I110" s="91"/>
    </row>
    <row r="111" spans="1:10" ht="12.95" customHeight="1" thickBot="1" x14ac:dyDescent="0.25">
      <c r="B111" s="92"/>
      <c r="C111" s="93"/>
      <c r="D111" s="93"/>
      <c r="E111" s="93"/>
      <c r="F111" s="93"/>
      <c r="G111" s="94"/>
      <c r="H111" s="94"/>
      <c r="I111" s="95"/>
    </row>
    <row r="112" spans="1:10" ht="12.95" customHeight="1" x14ac:dyDescent="0.2"/>
    <row r="113" spans="2:10" ht="7.5" customHeight="1" x14ac:dyDescent="0.2"/>
    <row r="114" spans="2:10" ht="12.95" customHeight="1" x14ac:dyDescent="0.2">
      <c r="B114" s="350" t="s">
        <v>767</v>
      </c>
      <c r="C114" s="350"/>
      <c r="D114" s="350"/>
      <c r="E114" s="350"/>
      <c r="F114" s="350"/>
      <c r="G114" s="350"/>
      <c r="H114" s="350"/>
      <c r="I114" s="350"/>
    </row>
    <row r="115" spans="2:10" ht="12.95" customHeight="1" x14ac:dyDescent="0.2">
      <c r="B115" s="350" t="s">
        <v>768</v>
      </c>
      <c r="C115" s="350"/>
      <c r="D115" s="350"/>
      <c r="E115" s="350"/>
      <c r="F115" s="350"/>
      <c r="G115" s="350"/>
      <c r="H115" s="350"/>
      <c r="I115" s="350"/>
    </row>
    <row r="116" spans="2:10" ht="12.95" customHeight="1" x14ac:dyDescent="0.2">
      <c r="B116" s="108" t="s">
        <v>769</v>
      </c>
      <c r="C116" s="108"/>
      <c r="D116" s="108"/>
      <c r="E116" s="101"/>
      <c r="F116" s="101"/>
      <c r="G116" s="102"/>
      <c r="H116" s="102"/>
      <c r="I116" s="109"/>
    </row>
    <row r="117" spans="2:10" ht="12.95" customHeight="1" x14ac:dyDescent="0.2">
      <c r="B117" s="108" t="s">
        <v>770</v>
      </c>
      <c r="C117" s="108"/>
      <c r="D117" s="108"/>
      <c r="E117" s="103"/>
      <c r="F117" s="103"/>
      <c r="G117" s="104"/>
      <c r="H117" s="104"/>
      <c r="I117" s="104"/>
      <c r="J117" s="18"/>
    </row>
    <row r="118" spans="2:10" ht="16.5" customHeight="1" x14ac:dyDescent="0.2">
      <c r="B118" s="108" t="s">
        <v>810</v>
      </c>
      <c r="C118" s="108"/>
      <c r="D118" s="108"/>
      <c r="E118" s="103"/>
      <c r="F118" s="103"/>
      <c r="G118" s="104"/>
      <c r="H118" s="104"/>
      <c r="I118" s="104"/>
      <c r="J118" s="18"/>
    </row>
    <row r="119" spans="2:10" ht="12.95" customHeight="1" thickBot="1" x14ac:dyDescent="0.25"/>
    <row r="120" spans="2:10" ht="12.95" customHeight="1" thickBot="1" x14ac:dyDescent="0.25">
      <c r="B120" s="105"/>
      <c r="C120" s="106" t="s">
        <v>798</v>
      </c>
      <c r="D120" s="106"/>
      <c r="E120" s="106"/>
      <c r="F120" s="106"/>
      <c r="G120" s="99"/>
      <c r="H120" s="99"/>
      <c r="I120" s="107"/>
    </row>
    <row r="121" spans="2:10" ht="12.95" customHeight="1" x14ac:dyDescent="0.2"/>
    <row r="122" spans="2:10" ht="12.95" customHeight="1" x14ac:dyDescent="0.2">
      <c r="C122" s="17" t="s">
        <v>799</v>
      </c>
      <c r="F122" s="28" t="s">
        <v>800</v>
      </c>
      <c r="G122" s="28" t="s">
        <v>801</v>
      </c>
      <c r="H122" s="28" t="s">
        <v>802</v>
      </c>
    </row>
    <row r="123" spans="2:10" ht="12.95" customHeight="1" x14ac:dyDescent="0.2">
      <c r="C123" s="19" t="s">
        <v>803</v>
      </c>
      <c r="F123" s="22">
        <v>0.03</v>
      </c>
      <c r="G123" s="22">
        <v>0.04</v>
      </c>
      <c r="H123" s="22">
        <v>5.5E-2</v>
      </c>
    </row>
    <row r="124" spans="2:10" ht="12.95" customHeight="1" x14ac:dyDescent="0.2">
      <c r="C124" s="19" t="s">
        <v>804</v>
      </c>
      <c r="F124" s="22">
        <v>8.0000000000000002E-3</v>
      </c>
      <c r="G124" s="22">
        <v>8.0000000000000002E-3</v>
      </c>
      <c r="H124" s="22">
        <v>0.01</v>
      </c>
    </row>
    <row r="125" spans="2:10" ht="12.95" customHeight="1" x14ac:dyDescent="0.2">
      <c r="C125" s="19" t="s">
        <v>805</v>
      </c>
      <c r="F125" s="22">
        <v>9.7000000000000003E-3</v>
      </c>
      <c r="G125" s="22">
        <v>1.2699999999999999E-2</v>
      </c>
      <c r="H125" s="22">
        <v>1.2699999999999999E-2</v>
      </c>
    </row>
    <row r="126" spans="2:10" ht="12.95" customHeight="1" x14ac:dyDescent="0.2">
      <c r="C126" s="17" t="s">
        <v>806</v>
      </c>
      <c r="F126" s="22">
        <v>5.8999999999999999E-3</v>
      </c>
      <c r="G126" s="22">
        <v>1.23E-2</v>
      </c>
      <c r="H126" s="22">
        <v>1.3899999999999999E-2</v>
      </c>
    </row>
    <row r="127" spans="2:10" ht="12.95" customHeight="1" x14ac:dyDescent="0.2">
      <c r="C127" s="17" t="s">
        <v>807</v>
      </c>
      <c r="F127" s="22">
        <v>6.1600000000000002E-2</v>
      </c>
      <c r="G127" s="22">
        <v>7.3999999999999996E-2</v>
      </c>
      <c r="H127" s="22">
        <v>8.9599999999999999E-2</v>
      </c>
    </row>
    <row r="128" spans="2:10" ht="12.95" customHeight="1" x14ac:dyDescent="0.2"/>
    <row r="129" spans="3:8" ht="12.95" customHeight="1" x14ac:dyDescent="0.2"/>
    <row r="130" spans="3:8" ht="12.95" customHeight="1" x14ac:dyDescent="0.2"/>
    <row r="131" spans="3:8" ht="12.95" customHeight="1" x14ac:dyDescent="0.2">
      <c r="C131" s="17" t="s">
        <v>808</v>
      </c>
    </row>
    <row r="132" spans="3:8" ht="12.95" customHeight="1" x14ac:dyDescent="0.2">
      <c r="C132" s="17" t="s">
        <v>809</v>
      </c>
      <c r="F132" s="28" t="s">
        <v>800</v>
      </c>
      <c r="G132" s="28" t="s">
        <v>801</v>
      </c>
      <c r="H132" s="28" t="s">
        <v>802</v>
      </c>
    </row>
    <row r="133" spans="3:8" ht="12.95" customHeight="1" x14ac:dyDescent="0.2">
      <c r="C133" s="19" t="s">
        <v>803</v>
      </c>
      <c r="F133" s="22">
        <v>1.4999999999999999E-2</v>
      </c>
      <c r="G133" s="22">
        <v>3.4500000000000003E-2</v>
      </c>
      <c r="H133" s="22">
        <v>4.4900000000000002E-2</v>
      </c>
    </row>
    <row r="134" spans="3:8" ht="12.95" customHeight="1" x14ac:dyDescent="0.2">
      <c r="C134" s="19" t="s">
        <v>804</v>
      </c>
      <c r="F134" s="22">
        <v>3.0000000000000001E-3</v>
      </c>
      <c r="G134" s="22">
        <v>4.7999999999999996E-3</v>
      </c>
      <c r="H134" s="22">
        <v>8.2000000000000007E-3</v>
      </c>
    </row>
    <row r="135" spans="3:8" ht="12.95" customHeight="1" x14ac:dyDescent="0.2">
      <c r="C135" s="19" t="s">
        <v>805</v>
      </c>
      <c r="F135" s="22">
        <v>5.5999999999999999E-3</v>
      </c>
      <c r="G135" s="22">
        <v>8.5000000000000006E-3</v>
      </c>
      <c r="H135" s="22">
        <v>8.8999999999999999E-3</v>
      </c>
    </row>
    <row r="136" spans="3:8" ht="12.95" customHeight="1" x14ac:dyDescent="0.2">
      <c r="C136" s="17" t="s">
        <v>806</v>
      </c>
      <c r="F136" s="22">
        <v>8.5000000000000006E-3</v>
      </c>
      <c r="G136" s="22">
        <v>8.5000000000000006E-3</v>
      </c>
      <c r="H136" s="22">
        <v>1.11E-2</v>
      </c>
    </row>
    <row r="137" spans="3:8" ht="12.95" customHeight="1" x14ac:dyDescent="0.2">
      <c r="C137" s="17" t="s">
        <v>807</v>
      </c>
      <c r="F137" s="22">
        <v>3.5000000000000003E-2</v>
      </c>
      <c r="G137" s="22">
        <v>5.11E-2</v>
      </c>
      <c r="H137" s="22">
        <v>6.2199999999999998E-2</v>
      </c>
    </row>
    <row r="138" spans="3:8" ht="12.95" customHeight="1" x14ac:dyDescent="0.2"/>
    <row r="139" spans="3:8" ht="12.95" customHeight="1" x14ac:dyDescent="0.2"/>
    <row r="140" spans="3:8" ht="12.95" customHeight="1" x14ac:dyDescent="0.2"/>
    <row r="141" spans="3:8" ht="12.95" customHeight="1" x14ac:dyDescent="0.2"/>
    <row r="142" spans="3:8" ht="12.95" customHeight="1" x14ac:dyDescent="0.2"/>
    <row r="143" spans="3:8" ht="12.95" customHeight="1" x14ac:dyDescent="0.2"/>
    <row r="144" spans="3:8" ht="12.95" customHeight="1" x14ac:dyDescent="0.2"/>
  </sheetData>
  <mergeCells count="6">
    <mergeCell ref="B115:I115"/>
    <mergeCell ref="B3:I3"/>
    <mergeCell ref="B2:I2"/>
    <mergeCell ref="B58:I58"/>
    <mergeCell ref="B59:I59"/>
    <mergeCell ref="B114:I114"/>
  </mergeCells>
  <printOptions horizontalCentered="1"/>
  <pageMargins left="0.9055118110236221" right="0.11811023622047245" top="0.39370078740157483" bottom="0.39370078740157483" header="0.11811023622047245" footer="0.11811023622047245"/>
  <pageSetup paperSize="9" scale="110" orientation="portrait" r:id="rId1"/>
  <rowBreaks count="2" manualBreakCount="2">
    <brk id="56" max="16383" man="1"/>
    <brk id="11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5"/>
  <sheetViews>
    <sheetView showOutlineSymbols="0" showWhiteSpace="0" view="pageBreakPreview" topLeftCell="A392" zoomScaleNormal="100" zoomScaleSheetLayoutView="100" workbookViewId="0">
      <selection activeCell="C395" sqref="C395"/>
    </sheetView>
  </sheetViews>
  <sheetFormatPr defaultColWidth="9" defaultRowHeight="14.25" x14ac:dyDescent="0.2"/>
  <cols>
    <col min="1" max="1" width="7.375" style="3" customWidth="1"/>
    <col min="2" max="2" width="14.875" style="2" customWidth="1"/>
    <col min="3" max="3" width="63.125" customWidth="1"/>
    <col min="4" max="4" width="5.875" style="18" bestFit="1" customWidth="1"/>
    <col min="5" max="5" width="8.875" style="121" bestFit="1" customWidth="1"/>
    <col min="6" max="6" width="9.875" style="18" bestFit="1" customWidth="1"/>
    <col min="7" max="7" width="8.875" style="18" bestFit="1" customWidth="1"/>
    <col min="8" max="8" width="9.875" style="18" bestFit="1" customWidth="1"/>
    <col min="9" max="9" width="10.5" style="18" bestFit="1" customWidth="1"/>
    <col min="10" max="10" width="14.875" hidden="1" customWidth="1"/>
    <col min="12" max="12" width="12.625" bestFit="1" customWidth="1"/>
  </cols>
  <sheetData>
    <row r="1" spans="1:12" ht="15" x14ac:dyDescent="0.25">
      <c r="C1" s="364" t="s">
        <v>767</v>
      </c>
      <c r="D1" s="364"/>
      <c r="E1" s="364"/>
      <c r="F1" s="364"/>
      <c r="G1" s="364"/>
      <c r="H1" s="364"/>
      <c r="I1" s="364"/>
    </row>
    <row r="2" spans="1:12" ht="15" x14ac:dyDescent="0.25">
      <c r="C2" s="364" t="s">
        <v>768</v>
      </c>
      <c r="D2" s="364"/>
      <c r="E2" s="364"/>
      <c r="F2" s="364"/>
      <c r="G2" s="364"/>
      <c r="H2" s="364"/>
      <c r="I2" s="364"/>
    </row>
    <row r="3" spans="1:12" ht="15.75" x14ac:dyDescent="0.2">
      <c r="A3" s="378" t="s">
        <v>769</v>
      </c>
      <c r="B3" s="378"/>
      <c r="C3" s="378"/>
      <c r="D3" s="378"/>
      <c r="E3" s="378"/>
      <c r="F3" s="378"/>
      <c r="G3" s="378"/>
      <c r="H3" s="378"/>
      <c r="I3" s="378"/>
      <c r="J3" s="71"/>
    </row>
    <row r="4" spans="1:12" ht="15" x14ac:dyDescent="0.2">
      <c r="A4" s="379" t="s">
        <v>1028</v>
      </c>
      <c r="B4" s="379"/>
      <c r="C4" s="379"/>
      <c r="D4" s="379"/>
      <c r="E4" s="379"/>
      <c r="F4" s="379"/>
      <c r="G4" s="379"/>
      <c r="H4" s="379"/>
      <c r="I4" s="379"/>
      <c r="J4" s="72"/>
    </row>
    <row r="5" spans="1:12" x14ac:dyDescent="0.2">
      <c r="A5" s="365" t="s">
        <v>1063</v>
      </c>
      <c r="B5" s="365"/>
      <c r="C5" s="365"/>
      <c r="D5" s="365"/>
      <c r="E5" s="365"/>
      <c r="F5" s="365"/>
      <c r="G5" s="365"/>
      <c r="H5" s="365"/>
      <c r="I5" s="365"/>
      <c r="J5" s="73"/>
    </row>
    <row r="6" spans="1:12" ht="15" thickBot="1" x14ac:dyDescent="0.25">
      <c r="A6" s="365" t="s">
        <v>817</v>
      </c>
      <c r="B6" s="365"/>
      <c r="C6" s="365"/>
      <c r="D6" s="365"/>
      <c r="E6" s="365"/>
      <c r="F6" s="365"/>
      <c r="G6" s="365"/>
      <c r="H6" s="365"/>
      <c r="I6" s="365"/>
      <c r="J6" s="73"/>
    </row>
    <row r="7" spans="1:12" ht="15" thickBot="1" x14ac:dyDescent="0.25">
      <c r="A7" s="366" t="s">
        <v>1062</v>
      </c>
      <c r="B7" s="367"/>
      <c r="C7" s="367"/>
      <c r="D7" s="367"/>
      <c r="E7" s="367"/>
      <c r="F7" s="367"/>
      <c r="G7" s="368"/>
      <c r="H7" s="369"/>
      <c r="I7" s="370"/>
      <c r="J7" s="73"/>
    </row>
    <row r="8" spans="1:12" x14ac:dyDescent="0.2">
      <c r="A8" s="374" t="s">
        <v>1391</v>
      </c>
      <c r="B8" s="375"/>
      <c r="C8" s="375"/>
      <c r="D8" s="375"/>
      <c r="E8" s="375"/>
      <c r="F8" s="375"/>
      <c r="G8" s="163" t="s">
        <v>1076</v>
      </c>
      <c r="H8" s="164"/>
      <c r="I8" s="122">
        <v>0.25030000000000002</v>
      </c>
      <c r="J8" s="73"/>
    </row>
    <row r="9" spans="1:12" ht="21.75" customHeight="1" x14ac:dyDescent="0.2">
      <c r="A9" s="376"/>
      <c r="B9" s="377"/>
      <c r="C9" s="377"/>
      <c r="D9" s="377"/>
      <c r="E9" s="377"/>
      <c r="F9" s="377"/>
      <c r="G9" s="353" t="s">
        <v>1090</v>
      </c>
      <c r="H9" s="354"/>
      <c r="I9" s="123" t="s">
        <v>1133</v>
      </c>
      <c r="J9" s="73"/>
    </row>
    <row r="10" spans="1:12" ht="15" thickBot="1" x14ac:dyDescent="0.25">
      <c r="A10" s="376"/>
      <c r="B10" s="377"/>
      <c r="C10" s="377"/>
      <c r="D10" s="377"/>
      <c r="E10" s="377"/>
      <c r="F10" s="377"/>
      <c r="G10" s="371" t="s">
        <v>1132</v>
      </c>
      <c r="H10" s="372"/>
      <c r="I10" s="373"/>
      <c r="J10" s="74"/>
    </row>
    <row r="11" spans="1:12" ht="25.5" x14ac:dyDescent="0.2">
      <c r="A11" s="57" t="s">
        <v>1025</v>
      </c>
      <c r="B11" s="58" t="s">
        <v>1029</v>
      </c>
      <c r="C11" s="58" t="s">
        <v>1030</v>
      </c>
      <c r="D11" s="146" t="s">
        <v>1026</v>
      </c>
      <c r="E11" s="162" t="s">
        <v>1027</v>
      </c>
      <c r="F11" s="146" t="s">
        <v>1119</v>
      </c>
      <c r="G11" s="58" t="s">
        <v>1075</v>
      </c>
      <c r="H11" s="146" t="s">
        <v>1120</v>
      </c>
      <c r="I11" s="147" t="s">
        <v>1121</v>
      </c>
    </row>
    <row r="12" spans="1:12" x14ac:dyDescent="0.2">
      <c r="A12" s="59" t="s">
        <v>0</v>
      </c>
      <c r="B12" s="60"/>
      <c r="C12" s="61" t="s">
        <v>1</v>
      </c>
      <c r="D12" s="61"/>
      <c r="E12" s="62"/>
      <c r="F12" s="143">
        <f>SUM(F13:F19)</f>
        <v>466.38</v>
      </c>
      <c r="G12" s="143">
        <f>SUM(G13:G19)</f>
        <v>4779.4399999999996</v>
      </c>
      <c r="H12" s="145">
        <f>SUM(H13:H19)</f>
        <v>583.08000000000004</v>
      </c>
      <c r="I12" s="129">
        <f>SUM(I13:I19)</f>
        <v>5975.7</v>
      </c>
      <c r="J12" s="75">
        <f>SUM(J13:J19)</f>
        <v>4779.4399999999996</v>
      </c>
      <c r="L12" s="1"/>
    </row>
    <row r="13" spans="1:12" x14ac:dyDescent="0.2">
      <c r="A13" s="63" t="s">
        <v>2</v>
      </c>
      <c r="B13" s="124" t="s">
        <v>818</v>
      </c>
      <c r="C13" s="64" t="s">
        <v>3</v>
      </c>
      <c r="D13" s="125" t="s">
        <v>4</v>
      </c>
      <c r="E13" s="65">
        <f>112.64+57</f>
        <v>169.64</v>
      </c>
      <c r="F13" s="65">
        <v>1.34</v>
      </c>
      <c r="G13" s="65">
        <f>TRUNC(E13*F13,2)</f>
        <v>227.31</v>
      </c>
      <c r="H13" s="126">
        <f>TRUNC(F13*(1+I$8),2)</f>
        <v>1.67</v>
      </c>
      <c r="I13" s="126">
        <f>TRUNC(G13*(1+I$8),2)</f>
        <v>284.2</v>
      </c>
      <c r="J13" s="70">
        <f>TRUNC(E13 * F13, 2)</f>
        <v>227.31</v>
      </c>
    </row>
    <row r="14" spans="1:12" ht="25.5" x14ac:dyDescent="0.2">
      <c r="A14" s="63" t="s">
        <v>1091</v>
      </c>
      <c r="B14" s="124" t="s">
        <v>819</v>
      </c>
      <c r="C14" s="64" t="s">
        <v>5</v>
      </c>
      <c r="D14" s="125" t="s">
        <v>168</v>
      </c>
      <c r="E14" s="65">
        <f>7+4</f>
        <v>11</v>
      </c>
      <c r="F14" s="65">
        <v>53.92</v>
      </c>
      <c r="G14" s="65">
        <f t="shared" ref="G14:G45" si="0">TRUNC(E14*F14,2)</f>
        <v>593.12</v>
      </c>
      <c r="H14" s="126">
        <f t="shared" ref="H14:H68" si="1">TRUNC(F14*(1+I$8),2)</f>
        <v>67.41</v>
      </c>
      <c r="I14" s="126">
        <f t="shared" ref="I14:I45" si="2">TRUNC(G14*(1+I$8),2)</f>
        <v>741.57</v>
      </c>
      <c r="J14" s="70">
        <f t="shared" ref="J14:J19" si="3">TRUNC(E14 * F14, 2)</f>
        <v>593.12</v>
      </c>
    </row>
    <row r="15" spans="1:12" ht="25.5" x14ac:dyDescent="0.2">
      <c r="A15" s="63" t="s">
        <v>1092</v>
      </c>
      <c r="B15" s="124" t="s">
        <v>820</v>
      </c>
      <c r="C15" s="64" t="s">
        <v>6</v>
      </c>
      <c r="D15" s="125" t="s">
        <v>168</v>
      </c>
      <c r="E15" s="65">
        <f>4+2</f>
        <v>6</v>
      </c>
      <c r="F15" s="65">
        <v>96.06</v>
      </c>
      <c r="G15" s="65">
        <f t="shared" si="0"/>
        <v>576.36</v>
      </c>
      <c r="H15" s="126">
        <f t="shared" si="1"/>
        <v>120.1</v>
      </c>
      <c r="I15" s="126">
        <f t="shared" si="2"/>
        <v>720.62</v>
      </c>
      <c r="J15" s="70">
        <f t="shared" si="3"/>
        <v>576.36</v>
      </c>
    </row>
    <row r="16" spans="1:12" ht="25.5" x14ac:dyDescent="0.2">
      <c r="A16" s="63" t="s">
        <v>1093</v>
      </c>
      <c r="B16" s="124" t="s">
        <v>821</v>
      </c>
      <c r="C16" s="64" t="s">
        <v>7</v>
      </c>
      <c r="D16" s="125" t="s">
        <v>168</v>
      </c>
      <c r="E16" s="65">
        <f>3+1</f>
        <v>4</v>
      </c>
      <c r="F16" s="168">
        <v>238.24</v>
      </c>
      <c r="G16" s="65">
        <f t="shared" si="0"/>
        <v>952.96</v>
      </c>
      <c r="H16" s="126">
        <f t="shared" si="1"/>
        <v>297.87</v>
      </c>
      <c r="I16" s="126">
        <f t="shared" si="2"/>
        <v>1191.48</v>
      </c>
      <c r="J16" s="70">
        <f t="shared" si="3"/>
        <v>952.96</v>
      </c>
    </row>
    <row r="17" spans="1:12" x14ac:dyDescent="0.2">
      <c r="A17" s="63" t="s">
        <v>1094</v>
      </c>
      <c r="B17" s="124" t="s">
        <v>822</v>
      </c>
      <c r="C17" s="64" t="s">
        <v>8</v>
      </c>
      <c r="D17" s="125" t="s">
        <v>9</v>
      </c>
      <c r="E17" s="65">
        <f>83.6+40</f>
        <v>123.6</v>
      </c>
      <c r="F17" s="65">
        <v>4.3899999999999997</v>
      </c>
      <c r="G17" s="65">
        <f t="shared" si="0"/>
        <v>542.6</v>
      </c>
      <c r="H17" s="126">
        <f t="shared" si="1"/>
        <v>5.48</v>
      </c>
      <c r="I17" s="126">
        <f t="shared" si="2"/>
        <v>678.41</v>
      </c>
      <c r="J17" s="70">
        <f t="shared" si="3"/>
        <v>542.6</v>
      </c>
    </row>
    <row r="18" spans="1:12" ht="25.5" x14ac:dyDescent="0.2">
      <c r="A18" s="63" t="s">
        <v>1095</v>
      </c>
      <c r="B18" s="124" t="s">
        <v>823</v>
      </c>
      <c r="C18" s="64" t="s">
        <v>1077</v>
      </c>
      <c r="D18" s="125" t="s">
        <v>1052</v>
      </c>
      <c r="E18" s="65">
        <f>41+40</f>
        <v>81</v>
      </c>
      <c r="F18" s="65">
        <v>2.61</v>
      </c>
      <c r="G18" s="65">
        <f t="shared" si="0"/>
        <v>211.41</v>
      </c>
      <c r="H18" s="126">
        <f t="shared" si="1"/>
        <v>3.26</v>
      </c>
      <c r="I18" s="126">
        <f t="shared" si="2"/>
        <v>264.32</v>
      </c>
      <c r="J18" s="70">
        <f t="shared" si="3"/>
        <v>211.41</v>
      </c>
    </row>
    <row r="19" spans="1:12" ht="25.5" x14ac:dyDescent="0.2">
      <c r="A19" s="63" t="s">
        <v>1096</v>
      </c>
      <c r="B19" s="124" t="s">
        <v>824</v>
      </c>
      <c r="C19" s="64" t="s">
        <v>10</v>
      </c>
      <c r="D19" s="125" t="s">
        <v>9</v>
      </c>
      <c r="E19" s="65">
        <f>10+14</f>
        <v>24</v>
      </c>
      <c r="F19" s="65">
        <v>69.819999999999993</v>
      </c>
      <c r="G19" s="65">
        <f t="shared" si="0"/>
        <v>1675.68</v>
      </c>
      <c r="H19" s="126">
        <f t="shared" si="1"/>
        <v>87.29</v>
      </c>
      <c r="I19" s="126">
        <f t="shared" si="2"/>
        <v>2095.1</v>
      </c>
      <c r="J19" s="70">
        <f t="shared" si="3"/>
        <v>1675.68</v>
      </c>
    </row>
    <row r="20" spans="1:12" x14ac:dyDescent="0.2">
      <c r="A20" s="127" t="s">
        <v>11</v>
      </c>
      <c r="B20" s="128"/>
      <c r="C20" s="66" t="s">
        <v>12</v>
      </c>
      <c r="D20" s="66"/>
      <c r="E20" s="141"/>
      <c r="F20" s="143">
        <f>SUM(F21:F45)</f>
        <v>382.24999999999989</v>
      </c>
      <c r="G20" s="143">
        <f>SUM(G21:G45)</f>
        <v>51352.490000000005</v>
      </c>
      <c r="H20" s="129">
        <f>SUM(H21:H45)</f>
        <v>477.79</v>
      </c>
      <c r="I20" s="129">
        <f>SUM(I21:I45)</f>
        <v>64205.880000000005</v>
      </c>
      <c r="J20" s="75">
        <f>SUM(J21:J45)</f>
        <v>51352.490000000005</v>
      </c>
      <c r="L20" s="1"/>
    </row>
    <row r="21" spans="1:12" x14ac:dyDescent="0.2">
      <c r="A21" s="63" t="s">
        <v>13</v>
      </c>
      <c r="B21" s="124" t="s">
        <v>14</v>
      </c>
      <c r="C21" s="64" t="s">
        <v>15</v>
      </c>
      <c r="D21" s="125" t="s">
        <v>9</v>
      </c>
      <c r="E21" s="65">
        <f>27.5+13</f>
        <v>40.5</v>
      </c>
      <c r="F21" s="65">
        <v>113.32</v>
      </c>
      <c r="G21" s="65">
        <f t="shared" si="0"/>
        <v>4589.46</v>
      </c>
      <c r="H21" s="126">
        <f t="shared" si="1"/>
        <v>141.68</v>
      </c>
      <c r="I21" s="126">
        <f t="shared" si="2"/>
        <v>5738.2</v>
      </c>
      <c r="J21" s="70">
        <f>TRUNC(E21 * F21, 2)</f>
        <v>4589.46</v>
      </c>
    </row>
    <row r="22" spans="1:12" ht="25.5" x14ac:dyDescent="0.2">
      <c r="A22" s="63" t="s">
        <v>16</v>
      </c>
      <c r="B22" s="124" t="s">
        <v>825</v>
      </c>
      <c r="C22" s="64" t="s">
        <v>17</v>
      </c>
      <c r="D22" s="125" t="s">
        <v>9</v>
      </c>
      <c r="E22" s="65">
        <f>12.32+7</f>
        <v>19.32</v>
      </c>
      <c r="F22" s="65">
        <v>45.48</v>
      </c>
      <c r="G22" s="65">
        <f t="shared" si="0"/>
        <v>878.67</v>
      </c>
      <c r="H22" s="126">
        <f t="shared" si="1"/>
        <v>56.86</v>
      </c>
      <c r="I22" s="126">
        <f t="shared" si="2"/>
        <v>1098.5999999999999</v>
      </c>
      <c r="J22" s="70">
        <f t="shared" ref="J22:J45" si="4">TRUNC(E22 * F22, 2)</f>
        <v>878.67</v>
      </c>
    </row>
    <row r="23" spans="1:12" ht="25.5" x14ac:dyDescent="0.2">
      <c r="A23" s="63" t="s">
        <v>18</v>
      </c>
      <c r="B23" s="124" t="s">
        <v>826</v>
      </c>
      <c r="C23" s="64" t="s">
        <v>1078</v>
      </c>
      <c r="D23" s="125" t="s">
        <v>9</v>
      </c>
      <c r="E23" s="65">
        <f>12.32+7</f>
        <v>19.32</v>
      </c>
      <c r="F23" s="65">
        <v>46.18</v>
      </c>
      <c r="G23" s="65">
        <f t="shared" si="0"/>
        <v>892.19</v>
      </c>
      <c r="H23" s="126">
        <f t="shared" si="1"/>
        <v>57.73</v>
      </c>
      <c r="I23" s="126">
        <f t="shared" si="2"/>
        <v>1115.5</v>
      </c>
      <c r="J23" s="70">
        <f t="shared" si="4"/>
        <v>892.19</v>
      </c>
    </row>
    <row r="24" spans="1:12" ht="25.5" x14ac:dyDescent="0.2">
      <c r="A24" s="63" t="s">
        <v>19</v>
      </c>
      <c r="B24" s="124" t="s">
        <v>20</v>
      </c>
      <c r="C24" s="64" t="s">
        <v>21</v>
      </c>
      <c r="D24" s="125" t="s">
        <v>4</v>
      </c>
      <c r="E24" s="65">
        <f>76.95+40</f>
        <v>116.95</v>
      </c>
      <c r="F24" s="65">
        <v>9.06</v>
      </c>
      <c r="G24" s="65">
        <f t="shared" si="0"/>
        <v>1059.56</v>
      </c>
      <c r="H24" s="126">
        <f t="shared" si="1"/>
        <v>11.32</v>
      </c>
      <c r="I24" s="126">
        <f t="shared" si="2"/>
        <v>1324.76</v>
      </c>
      <c r="J24" s="70">
        <f t="shared" si="4"/>
        <v>1059.56</v>
      </c>
    </row>
    <row r="25" spans="1:12" x14ac:dyDescent="0.2">
      <c r="A25" s="63" t="s">
        <v>22</v>
      </c>
      <c r="B25" s="124" t="s">
        <v>827</v>
      </c>
      <c r="C25" s="64" t="s">
        <v>23</v>
      </c>
      <c r="D25" s="125" t="s">
        <v>4</v>
      </c>
      <c r="E25" s="65">
        <f>61.55+35</f>
        <v>96.55</v>
      </c>
      <c r="F25" s="65">
        <v>2.67</v>
      </c>
      <c r="G25" s="65">
        <f t="shared" si="0"/>
        <v>257.77999999999997</v>
      </c>
      <c r="H25" s="126">
        <f t="shared" si="1"/>
        <v>3.33</v>
      </c>
      <c r="I25" s="126">
        <f t="shared" si="2"/>
        <v>322.3</v>
      </c>
      <c r="J25" s="70">
        <f t="shared" si="4"/>
        <v>257.77999999999997</v>
      </c>
    </row>
    <row r="26" spans="1:12" ht="25.5" x14ac:dyDescent="0.2">
      <c r="A26" s="63" t="s">
        <v>24</v>
      </c>
      <c r="B26" s="124" t="s">
        <v>828</v>
      </c>
      <c r="C26" s="64" t="s">
        <v>1079</v>
      </c>
      <c r="D26" s="125" t="s">
        <v>4</v>
      </c>
      <c r="E26" s="65">
        <f>46.15+25</f>
        <v>71.150000000000006</v>
      </c>
      <c r="F26" s="65">
        <v>9.7899999999999991</v>
      </c>
      <c r="G26" s="65">
        <f t="shared" si="0"/>
        <v>696.55</v>
      </c>
      <c r="H26" s="126">
        <f t="shared" si="1"/>
        <v>12.24</v>
      </c>
      <c r="I26" s="126">
        <f t="shared" si="2"/>
        <v>870.89</v>
      </c>
      <c r="J26" s="70">
        <f t="shared" si="4"/>
        <v>696.55</v>
      </c>
    </row>
    <row r="27" spans="1:12" ht="25.5" x14ac:dyDescent="0.2">
      <c r="A27" s="63" t="s">
        <v>25</v>
      </c>
      <c r="B27" s="124" t="s">
        <v>829</v>
      </c>
      <c r="C27" s="64" t="s">
        <v>26</v>
      </c>
      <c r="D27" s="125" t="s">
        <v>4</v>
      </c>
      <c r="E27" s="65">
        <f>92.35+50</f>
        <v>142.35</v>
      </c>
      <c r="F27" s="65">
        <v>13.01</v>
      </c>
      <c r="G27" s="65">
        <f t="shared" si="0"/>
        <v>1851.97</v>
      </c>
      <c r="H27" s="126">
        <f t="shared" si="1"/>
        <v>16.260000000000002</v>
      </c>
      <c r="I27" s="126">
        <f t="shared" si="2"/>
        <v>2315.5100000000002</v>
      </c>
      <c r="J27" s="70">
        <f t="shared" si="4"/>
        <v>1851.97</v>
      </c>
    </row>
    <row r="28" spans="1:12" x14ac:dyDescent="0.2">
      <c r="A28" s="63" t="s">
        <v>27</v>
      </c>
      <c r="B28" s="124" t="s">
        <v>28</v>
      </c>
      <c r="C28" s="64" t="s">
        <v>29</v>
      </c>
      <c r="D28" s="125" t="s">
        <v>30</v>
      </c>
      <c r="E28" s="65">
        <f>1484.45+780</f>
        <v>2264.4499999999998</v>
      </c>
      <c r="F28" s="65">
        <v>0.96</v>
      </c>
      <c r="G28" s="65">
        <f t="shared" si="0"/>
        <v>2173.87</v>
      </c>
      <c r="H28" s="126">
        <f t="shared" si="1"/>
        <v>1.2</v>
      </c>
      <c r="I28" s="126">
        <f t="shared" si="2"/>
        <v>2717.98</v>
      </c>
      <c r="J28" s="70">
        <f t="shared" si="4"/>
        <v>2173.87</v>
      </c>
    </row>
    <row r="29" spans="1:12" ht="25.5" x14ac:dyDescent="0.2">
      <c r="A29" s="63" t="s">
        <v>31</v>
      </c>
      <c r="B29" s="124" t="s">
        <v>830</v>
      </c>
      <c r="C29" s="64" t="s">
        <v>1080</v>
      </c>
      <c r="D29" s="125" t="s">
        <v>4</v>
      </c>
      <c r="E29" s="65">
        <f>923.34+470</f>
        <v>1393.3400000000001</v>
      </c>
      <c r="F29" s="65">
        <v>2.76</v>
      </c>
      <c r="G29" s="65">
        <f t="shared" si="0"/>
        <v>3845.61</v>
      </c>
      <c r="H29" s="126">
        <f t="shared" si="1"/>
        <v>3.45</v>
      </c>
      <c r="I29" s="126">
        <f t="shared" si="2"/>
        <v>4808.16</v>
      </c>
      <c r="J29" s="70">
        <f t="shared" si="4"/>
        <v>3845.61</v>
      </c>
    </row>
    <row r="30" spans="1:12" ht="25.5" x14ac:dyDescent="0.2">
      <c r="A30" s="63" t="s">
        <v>32</v>
      </c>
      <c r="B30" s="124" t="s">
        <v>831</v>
      </c>
      <c r="C30" s="64" t="s">
        <v>1081</v>
      </c>
      <c r="D30" s="125" t="s">
        <v>4</v>
      </c>
      <c r="E30" s="65">
        <f>461.65+235</f>
        <v>696.65</v>
      </c>
      <c r="F30" s="65">
        <v>5.95</v>
      </c>
      <c r="G30" s="65">
        <f t="shared" si="0"/>
        <v>4145.0600000000004</v>
      </c>
      <c r="H30" s="126">
        <f t="shared" si="1"/>
        <v>7.43</v>
      </c>
      <c r="I30" s="126">
        <f t="shared" si="2"/>
        <v>5182.5600000000004</v>
      </c>
      <c r="J30" s="70">
        <f t="shared" si="4"/>
        <v>4145.0600000000004</v>
      </c>
    </row>
    <row r="31" spans="1:12" x14ac:dyDescent="0.2">
      <c r="A31" s="63" t="s">
        <v>33</v>
      </c>
      <c r="B31" s="124" t="s">
        <v>34</v>
      </c>
      <c r="C31" s="64" t="s">
        <v>35</v>
      </c>
      <c r="D31" s="125" t="s">
        <v>4</v>
      </c>
      <c r="E31" s="65">
        <f>153.9+80</f>
        <v>233.9</v>
      </c>
      <c r="F31" s="65">
        <v>14.18</v>
      </c>
      <c r="G31" s="65">
        <f t="shared" si="0"/>
        <v>3316.7</v>
      </c>
      <c r="H31" s="126">
        <f t="shared" si="1"/>
        <v>17.72</v>
      </c>
      <c r="I31" s="126">
        <f t="shared" si="2"/>
        <v>4146.87</v>
      </c>
      <c r="J31" s="70">
        <f t="shared" si="4"/>
        <v>3316.7</v>
      </c>
    </row>
    <row r="32" spans="1:12" x14ac:dyDescent="0.2">
      <c r="A32" s="63" t="s">
        <v>36</v>
      </c>
      <c r="B32" s="124" t="s">
        <v>832</v>
      </c>
      <c r="C32" s="64" t="s">
        <v>37</v>
      </c>
      <c r="D32" s="125" t="s">
        <v>4</v>
      </c>
      <c r="E32" s="65">
        <f>92.35+47.25</f>
        <v>139.6</v>
      </c>
      <c r="F32" s="65">
        <v>7.45</v>
      </c>
      <c r="G32" s="65">
        <f t="shared" si="0"/>
        <v>1040.02</v>
      </c>
      <c r="H32" s="126">
        <f t="shared" si="1"/>
        <v>9.31</v>
      </c>
      <c r="I32" s="126">
        <f t="shared" si="2"/>
        <v>1300.33</v>
      </c>
      <c r="J32" s="70">
        <f t="shared" si="4"/>
        <v>1040.02</v>
      </c>
    </row>
    <row r="33" spans="1:10" ht="25.5" x14ac:dyDescent="0.2">
      <c r="A33" s="63" t="s">
        <v>38</v>
      </c>
      <c r="B33" s="124" t="s">
        <v>39</v>
      </c>
      <c r="C33" s="64" t="s">
        <v>40</v>
      </c>
      <c r="D33" s="125" t="s">
        <v>4</v>
      </c>
      <c r="E33" s="65">
        <f>21.55+11</f>
        <v>32.549999999999997</v>
      </c>
      <c r="F33" s="65">
        <v>19.940000000000001</v>
      </c>
      <c r="G33" s="65">
        <f t="shared" si="0"/>
        <v>649.04</v>
      </c>
      <c r="H33" s="126">
        <f t="shared" si="1"/>
        <v>24.93</v>
      </c>
      <c r="I33" s="126">
        <f t="shared" si="2"/>
        <v>811.49</v>
      </c>
      <c r="J33" s="70">
        <f t="shared" si="4"/>
        <v>649.04</v>
      </c>
    </row>
    <row r="34" spans="1:10" x14ac:dyDescent="0.2">
      <c r="A34" s="63" t="s">
        <v>41</v>
      </c>
      <c r="B34" s="124" t="s">
        <v>42</v>
      </c>
      <c r="C34" s="64" t="s">
        <v>43</v>
      </c>
      <c r="D34" s="125" t="s">
        <v>4</v>
      </c>
      <c r="E34" s="65">
        <f>30.8+16</f>
        <v>46.8</v>
      </c>
      <c r="F34" s="65">
        <v>7.59</v>
      </c>
      <c r="G34" s="65">
        <f t="shared" si="0"/>
        <v>355.21</v>
      </c>
      <c r="H34" s="126">
        <f t="shared" si="1"/>
        <v>9.48</v>
      </c>
      <c r="I34" s="126">
        <f t="shared" si="2"/>
        <v>444.11</v>
      </c>
      <c r="J34" s="70">
        <f t="shared" si="4"/>
        <v>355.21</v>
      </c>
    </row>
    <row r="35" spans="1:10" ht="25.5" x14ac:dyDescent="0.2">
      <c r="A35" s="63" t="s">
        <v>44</v>
      </c>
      <c r="B35" s="124" t="s">
        <v>833</v>
      </c>
      <c r="C35" s="64" t="s">
        <v>1082</v>
      </c>
      <c r="D35" s="125" t="s">
        <v>168</v>
      </c>
      <c r="E35" s="65">
        <f>247+125</f>
        <v>372</v>
      </c>
      <c r="F35" s="65">
        <v>0.55000000000000004</v>
      </c>
      <c r="G35" s="65">
        <f t="shared" si="0"/>
        <v>204.6</v>
      </c>
      <c r="H35" s="126">
        <f t="shared" si="1"/>
        <v>0.68</v>
      </c>
      <c r="I35" s="126">
        <f t="shared" si="2"/>
        <v>255.81</v>
      </c>
      <c r="J35" s="70">
        <f t="shared" si="4"/>
        <v>204.6</v>
      </c>
    </row>
    <row r="36" spans="1:10" x14ac:dyDescent="0.2">
      <c r="A36" s="63" t="s">
        <v>45</v>
      </c>
      <c r="B36" s="124" t="s">
        <v>834</v>
      </c>
      <c r="C36" s="64" t="s">
        <v>46</v>
      </c>
      <c r="D36" s="125" t="s">
        <v>168</v>
      </c>
      <c r="E36" s="65">
        <f>247+125</f>
        <v>372</v>
      </c>
      <c r="F36" s="65">
        <v>1.06</v>
      </c>
      <c r="G36" s="65">
        <f t="shared" si="0"/>
        <v>394.32</v>
      </c>
      <c r="H36" s="126">
        <f t="shared" si="1"/>
        <v>1.32</v>
      </c>
      <c r="I36" s="126">
        <f t="shared" si="2"/>
        <v>493.01</v>
      </c>
      <c r="J36" s="70">
        <f t="shared" si="4"/>
        <v>394.32</v>
      </c>
    </row>
    <row r="37" spans="1:10" ht="25.5" x14ac:dyDescent="0.2">
      <c r="A37" s="63" t="s">
        <v>47</v>
      </c>
      <c r="B37" s="124" t="s">
        <v>835</v>
      </c>
      <c r="C37" s="64" t="s">
        <v>1083</v>
      </c>
      <c r="D37" s="125" t="s">
        <v>267</v>
      </c>
      <c r="E37" s="65">
        <f>78+40</f>
        <v>118</v>
      </c>
      <c r="F37" s="65">
        <v>0.39</v>
      </c>
      <c r="G37" s="65">
        <f t="shared" si="0"/>
        <v>46.02</v>
      </c>
      <c r="H37" s="126">
        <f t="shared" si="1"/>
        <v>0.48</v>
      </c>
      <c r="I37" s="126">
        <f t="shared" si="2"/>
        <v>57.53</v>
      </c>
      <c r="J37" s="70">
        <f t="shared" si="4"/>
        <v>46.02</v>
      </c>
    </row>
    <row r="38" spans="1:10" x14ac:dyDescent="0.2">
      <c r="A38" s="63" t="s">
        <v>48</v>
      </c>
      <c r="B38" s="124" t="s">
        <v>836</v>
      </c>
      <c r="C38" s="64" t="s">
        <v>49</v>
      </c>
      <c r="D38" s="125" t="s">
        <v>168</v>
      </c>
      <c r="E38" s="65">
        <f>31+16</f>
        <v>47</v>
      </c>
      <c r="F38" s="65">
        <v>9.81</v>
      </c>
      <c r="G38" s="65">
        <f t="shared" si="0"/>
        <v>461.07</v>
      </c>
      <c r="H38" s="126">
        <f t="shared" si="1"/>
        <v>12.26</v>
      </c>
      <c r="I38" s="126">
        <f t="shared" si="2"/>
        <v>576.47</v>
      </c>
      <c r="J38" s="70">
        <f t="shared" si="4"/>
        <v>461.07</v>
      </c>
    </row>
    <row r="39" spans="1:10" x14ac:dyDescent="0.2">
      <c r="A39" s="63" t="s">
        <v>50</v>
      </c>
      <c r="B39" s="124" t="s">
        <v>837</v>
      </c>
      <c r="C39" s="64" t="s">
        <v>51</v>
      </c>
      <c r="D39" s="125" t="s">
        <v>168</v>
      </c>
      <c r="E39" s="65">
        <f>16+8</f>
        <v>24</v>
      </c>
      <c r="F39" s="65">
        <v>1.21</v>
      </c>
      <c r="G39" s="65">
        <f t="shared" si="0"/>
        <v>29.04</v>
      </c>
      <c r="H39" s="126">
        <f t="shared" si="1"/>
        <v>1.51</v>
      </c>
      <c r="I39" s="126">
        <f t="shared" si="2"/>
        <v>36.299999999999997</v>
      </c>
      <c r="J39" s="70">
        <f t="shared" si="4"/>
        <v>29.04</v>
      </c>
    </row>
    <row r="40" spans="1:10" ht="25.5" x14ac:dyDescent="0.2">
      <c r="A40" s="63" t="s">
        <v>52</v>
      </c>
      <c r="B40" s="124" t="s">
        <v>838</v>
      </c>
      <c r="C40" s="64" t="s">
        <v>53</v>
      </c>
      <c r="D40" s="125" t="s">
        <v>168</v>
      </c>
      <c r="E40" s="65">
        <f>77+40</f>
        <v>117</v>
      </c>
      <c r="F40" s="65">
        <v>7.15</v>
      </c>
      <c r="G40" s="65">
        <f t="shared" si="0"/>
        <v>836.55</v>
      </c>
      <c r="H40" s="126">
        <f t="shared" si="1"/>
        <v>8.93</v>
      </c>
      <c r="I40" s="126">
        <f t="shared" si="2"/>
        <v>1045.93</v>
      </c>
      <c r="J40" s="70">
        <f t="shared" si="4"/>
        <v>836.55</v>
      </c>
    </row>
    <row r="41" spans="1:10" ht="25.5" x14ac:dyDescent="0.2">
      <c r="A41" s="63" t="s">
        <v>54</v>
      </c>
      <c r="B41" s="124" t="s">
        <v>839</v>
      </c>
      <c r="C41" s="64" t="s">
        <v>1084</v>
      </c>
      <c r="D41" s="125" t="s">
        <v>4</v>
      </c>
      <c r="E41" s="65">
        <f>153.9+80</f>
        <v>233.9</v>
      </c>
      <c r="F41" s="65">
        <v>1.31</v>
      </c>
      <c r="G41" s="65">
        <f t="shared" si="0"/>
        <v>306.39999999999998</v>
      </c>
      <c r="H41" s="126">
        <f t="shared" si="1"/>
        <v>1.63</v>
      </c>
      <c r="I41" s="126">
        <f t="shared" si="2"/>
        <v>383.09</v>
      </c>
      <c r="J41" s="70">
        <f t="shared" si="4"/>
        <v>306.39999999999998</v>
      </c>
    </row>
    <row r="42" spans="1:10" x14ac:dyDescent="0.2">
      <c r="A42" s="63" t="s">
        <v>55</v>
      </c>
      <c r="B42" s="124" t="s">
        <v>56</v>
      </c>
      <c r="C42" s="64" t="s">
        <v>57</v>
      </c>
      <c r="D42" s="125" t="s">
        <v>4</v>
      </c>
      <c r="E42" s="65">
        <f>61.55+35</f>
        <v>96.55</v>
      </c>
      <c r="F42" s="65">
        <v>8.67</v>
      </c>
      <c r="G42" s="65">
        <f t="shared" si="0"/>
        <v>837.08</v>
      </c>
      <c r="H42" s="126">
        <f t="shared" si="1"/>
        <v>10.84</v>
      </c>
      <c r="I42" s="126">
        <f t="shared" si="2"/>
        <v>1046.5999999999999</v>
      </c>
      <c r="J42" s="70">
        <f t="shared" si="4"/>
        <v>837.08</v>
      </c>
    </row>
    <row r="43" spans="1:10" x14ac:dyDescent="0.2">
      <c r="A43" s="63" t="s">
        <v>58</v>
      </c>
      <c r="B43" s="124" t="s">
        <v>840</v>
      </c>
      <c r="C43" s="64" t="s">
        <v>59</v>
      </c>
      <c r="D43" s="125" t="s">
        <v>4</v>
      </c>
      <c r="E43" s="65">
        <f>15.4+10</f>
        <v>25.4</v>
      </c>
      <c r="F43" s="65">
        <v>4.0199999999999996</v>
      </c>
      <c r="G43" s="65">
        <f t="shared" si="0"/>
        <v>102.1</v>
      </c>
      <c r="H43" s="126">
        <f t="shared" si="1"/>
        <v>5.0199999999999996</v>
      </c>
      <c r="I43" s="126">
        <f t="shared" si="2"/>
        <v>127.65</v>
      </c>
      <c r="J43" s="70">
        <f t="shared" si="4"/>
        <v>102.1</v>
      </c>
    </row>
    <row r="44" spans="1:10" x14ac:dyDescent="0.2">
      <c r="A44" s="63" t="s">
        <v>60</v>
      </c>
      <c r="B44" s="124" t="s">
        <v>61</v>
      </c>
      <c r="C44" s="64" t="s">
        <v>62</v>
      </c>
      <c r="D44" s="125" t="s">
        <v>4</v>
      </c>
      <c r="E44" s="65">
        <f>184.7+100</f>
        <v>284.7</v>
      </c>
      <c r="F44" s="65">
        <v>40.340000000000003</v>
      </c>
      <c r="G44" s="65">
        <f t="shared" si="0"/>
        <v>11484.79</v>
      </c>
      <c r="H44" s="126">
        <f t="shared" si="1"/>
        <v>50.43</v>
      </c>
      <c r="I44" s="126">
        <f t="shared" si="2"/>
        <v>14359.43</v>
      </c>
      <c r="J44" s="70">
        <f t="shared" si="4"/>
        <v>11484.79</v>
      </c>
    </row>
    <row r="45" spans="1:10" x14ac:dyDescent="0.2">
      <c r="A45" s="63" t="s">
        <v>63</v>
      </c>
      <c r="B45" s="124" t="s">
        <v>64</v>
      </c>
      <c r="C45" s="64" t="s">
        <v>65</v>
      </c>
      <c r="D45" s="125" t="s">
        <v>4</v>
      </c>
      <c r="E45" s="65">
        <f>769.45+390</f>
        <v>1159.45</v>
      </c>
      <c r="F45" s="65">
        <v>9.4</v>
      </c>
      <c r="G45" s="65">
        <f t="shared" si="0"/>
        <v>10898.83</v>
      </c>
      <c r="H45" s="126">
        <f t="shared" si="1"/>
        <v>11.75</v>
      </c>
      <c r="I45" s="126">
        <f t="shared" si="2"/>
        <v>13626.8</v>
      </c>
      <c r="J45" s="70">
        <f t="shared" si="4"/>
        <v>10898.83</v>
      </c>
    </row>
    <row r="46" spans="1:10" x14ac:dyDescent="0.2">
      <c r="A46" s="127" t="s">
        <v>66</v>
      </c>
      <c r="B46" s="128"/>
      <c r="C46" s="66" t="s">
        <v>67</v>
      </c>
      <c r="D46" s="66"/>
      <c r="E46" s="141"/>
      <c r="F46" s="143">
        <f>F47</f>
        <v>548.42999999999995</v>
      </c>
      <c r="G46" s="143">
        <f>G47</f>
        <v>5275.88</v>
      </c>
      <c r="H46" s="129">
        <f>H47</f>
        <v>685.69</v>
      </c>
      <c r="I46" s="129">
        <f>I47</f>
        <v>6596.42</v>
      </c>
      <c r="J46" s="75">
        <f>J47</f>
        <v>5275.88</v>
      </c>
    </row>
    <row r="47" spans="1:10" x14ac:dyDescent="0.2">
      <c r="A47" s="127" t="s">
        <v>68</v>
      </c>
      <c r="B47" s="128"/>
      <c r="C47" s="66" t="s">
        <v>69</v>
      </c>
      <c r="D47" s="66"/>
      <c r="E47" s="141"/>
      <c r="F47" s="143">
        <f>F48+F49</f>
        <v>548.42999999999995</v>
      </c>
      <c r="G47" s="143">
        <f>G48+G49</f>
        <v>5275.88</v>
      </c>
      <c r="H47" s="129">
        <f>H48+H49</f>
        <v>685.69</v>
      </c>
      <c r="I47" s="129">
        <f>SUM(I48:I49)</f>
        <v>6596.42</v>
      </c>
      <c r="J47" s="75">
        <f>SUM(J48:J49)</f>
        <v>5275.88</v>
      </c>
    </row>
    <row r="48" spans="1:10" ht="25.5" x14ac:dyDescent="0.2">
      <c r="A48" s="63" t="s">
        <v>1070</v>
      </c>
      <c r="B48" s="124" t="s">
        <v>841</v>
      </c>
      <c r="C48" s="64" t="s">
        <v>70</v>
      </c>
      <c r="D48" s="125" t="s">
        <v>9</v>
      </c>
      <c r="E48" s="65">
        <f>4.62+5</f>
        <v>9.620000000000001</v>
      </c>
      <c r="F48" s="65">
        <v>432.69</v>
      </c>
      <c r="G48" s="65">
        <f t="shared" ref="G48:G49" si="5">TRUNC(E48*F48,2)</f>
        <v>4162.47</v>
      </c>
      <c r="H48" s="126">
        <f t="shared" si="1"/>
        <v>540.99</v>
      </c>
      <c r="I48" s="126">
        <f t="shared" ref="I48:I49" si="6">TRUNC(G48*(1+I$8),2)</f>
        <v>5204.33</v>
      </c>
      <c r="J48" s="70">
        <f>TRUNC(E48 * F48, 2)</f>
        <v>4162.47</v>
      </c>
    </row>
    <row r="49" spans="1:10" x14ac:dyDescent="0.2">
      <c r="A49" s="63" t="s">
        <v>1071</v>
      </c>
      <c r="B49" s="124" t="s">
        <v>842</v>
      </c>
      <c r="C49" s="64" t="s">
        <v>71</v>
      </c>
      <c r="D49" s="125" t="s">
        <v>9</v>
      </c>
      <c r="E49" s="65">
        <f>4.62+5</f>
        <v>9.620000000000001</v>
      </c>
      <c r="F49" s="65">
        <v>115.74</v>
      </c>
      <c r="G49" s="65">
        <f t="shared" si="5"/>
        <v>1113.4100000000001</v>
      </c>
      <c r="H49" s="126">
        <f t="shared" si="1"/>
        <v>144.69999999999999</v>
      </c>
      <c r="I49" s="126">
        <f t="shared" si="6"/>
        <v>1392.09</v>
      </c>
      <c r="J49" s="70">
        <f>TRUNC(E49 * F49, 2)</f>
        <v>1113.4100000000001</v>
      </c>
    </row>
    <row r="50" spans="1:10" x14ac:dyDescent="0.2">
      <c r="A50" s="127" t="s">
        <v>72</v>
      </c>
      <c r="B50" s="128"/>
      <c r="C50" s="66" t="s">
        <v>73</v>
      </c>
      <c r="D50" s="66"/>
      <c r="E50" s="141"/>
      <c r="F50" s="143">
        <f>F51+F58+F65+F72</f>
        <v>2856.94</v>
      </c>
      <c r="G50" s="143">
        <f>G51+G58+G65+G72</f>
        <v>49277.11</v>
      </c>
      <c r="H50" s="129">
        <f>H51+H58+H65+H72</f>
        <v>3571.93</v>
      </c>
      <c r="I50" s="129">
        <f>I51+I58+I65+I72</f>
        <v>61611.07</v>
      </c>
      <c r="J50" s="75">
        <f>J51+J58+J65+J72</f>
        <v>49277.11</v>
      </c>
    </row>
    <row r="51" spans="1:10" x14ac:dyDescent="0.2">
      <c r="A51" s="127" t="s">
        <v>74</v>
      </c>
      <c r="B51" s="128"/>
      <c r="C51" s="66" t="s">
        <v>1057</v>
      </c>
      <c r="D51" s="66"/>
      <c r="E51" s="141"/>
      <c r="F51" s="143">
        <f>SUM(F52:F57)</f>
        <v>739.73</v>
      </c>
      <c r="G51" s="143">
        <f>SUM(G52:G57)</f>
        <v>22978.379999999997</v>
      </c>
      <c r="H51" s="129">
        <f>SUM(H52:H57)</f>
        <v>924.85</v>
      </c>
      <c r="I51" s="129">
        <f>SUM(I52:I57)</f>
        <v>28729.84</v>
      </c>
      <c r="J51" s="75">
        <f>SUM(J52:J57)</f>
        <v>22978.379999999997</v>
      </c>
    </row>
    <row r="52" spans="1:10" ht="38.25" x14ac:dyDescent="0.2">
      <c r="A52" s="63" t="s">
        <v>75</v>
      </c>
      <c r="B52" s="124" t="s">
        <v>843</v>
      </c>
      <c r="C52" s="64" t="s">
        <v>76</v>
      </c>
      <c r="D52" s="125" t="s">
        <v>4</v>
      </c>
      <c r="E52" s="65">
        <f>6.15+20</f>
        <v>26.15</v>
      </c>
      <c r="F52" s="65">
        <v>62.04</v>
      </c>
      <c r="G52" s="65">
        <f t="shared" ref="G52:G74" si="7">TRUNC(E52*F52,2)</f>
        <v>1622.34</v>
      </c>
      <c r="H52" s="126">
        <f t="shared" si="1"/>
        <v>77.56</v>
      </c>
      <c r="I52" s="126">
        <f t="shared" ref="I52:I74" si="8">TRUNC(G52*(1+I$8),2)</f>
        <v>2028.41</v>
      </c>
      <c r="J52" s="70">
        <f t="shared" ref="J52:J57" si="9">TRUNC(E52 * F52, 2)</f>
        <v>1622.34</v>
      </c>
    </row>
    <row r="53" spans="1:10" ht="25.5" x14ac:dyDescent="0.2">
      <c r="A53" s="63" t="s">
        <v>1108</v>
      </c>
      <c r="B53" s="124" t="s">
        <v>844</v>
      </c>
      <c r="C53" s="64" t="s">
        <v>1085</v>
      </c>
      <c r="D53" s="125" t="s">
        <v>30</v>
      </c>
      <c r="E53" s="65">
        <v>169.3</v>
      </c>
      <c r="F53" s="65">
        <v>12.96</v>
      </c>
      <c r="G53" s="65">
        <f t="shared" si="7"/>
        <v>2194.12</v>
      </c>
      <c r="H53" s="126">
        <f t="shared" si="1"/>
        <v>16.2</v>
      </c>
      <c r="I53" s="126">
        <f t="shared" si="8"/>
        <v>2743.3</v>
      </c>
      <c r="J53" s="70">
        <f t="shared" si="9"/>
        <v>2194.12</v>
      </c>
    </row>
    <row r="54" spans="1:10" ht="38.25" x14ac:dyDescent="0.2">
      <c r="A54" s="63" t="s">
        <v>1109</v>
      </c>
      <c r="B54" s="124" t="s">
        <v>845</v>
      </c>
      <c r="C54" s="64" t="s">
        <v>78</v>
      </c>
      <c r="D54" s="125" t="s">
        <v>30</v>
      </c>
      <c r="E54" s="65">
        <v>184.7</v>
      </c>
      <c r="F54" s="65">
        <v>12.38</v>
      </c>
      <c r="G54" s="65">
        <f t="shared" si="7"/>
        <v>2286.58</v>
      </c>
      <c r="H54" s="126">
        <f t="shared" si="1"/>
        <v>15.47</v>
      </c>
      <c r="I54" s="126">
        <f t="shared" si="8"/>
        <v>2858.91</v>
      </c>
      <c r="J54" s="70">
        <f t="shared" si="9"/>
        <v>2286.58</v>
      </c>
    </row>
    <row r="55" spans="1:10" ht="25.5" x14ac:dyDescent="0.2">
      <c r="A55" s="63" t="s">
        <v>1110</v>
      </c>
      <c r="B55" s="124" t="s">
        <v>846</v>
      </c>
      <c r="C55" s="64" t="s">
        <v>79</v>
      </c>
      <c r="D55" s="125" t="s">
        <v>30</v>
      </c>
      <c r="E55" s="65">
        <f>246.25+225</f>
        <v>471.25</v>
      </c>
      <c r="F55" s="65">
        <v>9.41</v>
      </c>
      <c r="G55" s="65">
        <f t="shared" si="7"/>
        <v>4434.46</v>
      </c>
      <c r="H55" s="126">
        <f t="shared" si="1"/>
        <v>11.76</v>
      </c>
      <c r="I55" s="126">
        <f t="shared" si="8"/>
        <v>5544.4</v>
      </c>
      <c r="J55" s="70">
        <f t="shared" si="9"/>
        <v>4434.46</v>
      </c>
    </row>
    <row r="56" spans="1:10" ht="25.5" x14ac:dyDescent="0.2">
      <c r="A56" s="63" t="s">
        <v>1111</v>
      </c>
      <c r="B56" s="124" t="s">
        <v>847</v>
      </c>
      <c r="C56" s="64" t="s">
        <v>80</v>
      </c>
      <c r="D56" s="125" t="s">
        <v>9</v>
      </c>
      <c r="E56" s="65">
        <f>12.35+7</f>
        <v>19.350000000000001</v>
      </c>
      <c r="F56" s="65">
        <v>462.87</v>
      </c>
      <c r="G56" s="65">
        <f t="shared" si="7"/>
        <v>8956.5300000000007</v>
      </c>
      <c r="H56" s="126">
        <f t="shared" si="1"/>
        <v>578.72</v>
      </c>
      <c r="I56" s="126">
        <f t="shared" si="8"/>
        <v>11198.34</v>
      </c>
      <c r="J56" s="70">
        <f t="shared" si="9"/>
        <v>8956.5300000000007</v>
      </c>
    </row>
    <row r="57" spans="1:10" ht="31.5" customHeight="1" x14ac:dyDescent="0.2">
      <c r="A57" s="63" t="s">
        <v>1197</v>
      </c>
      <c r="B57" s="124" t="s">
        <v>848</v>
      </c>
      <c r="C57" s="64" t="s">
        <v>1086</v>
      </c>
      <c r="D57" s="125" t="s">
        <v>9</v>
      </c>
      <c r="E57" s="65">
        <f>12.35+7</f>
        <v>19.350000000000001</v>
      </c>
      <c r="F57" s="65">
        <v>180.07</v>
      </c>
      <c r="G57" s="65">
        <f t="shared" si="7"/>
        <v>3484.35</v>
      </c>
      <c r="H57" s="126">
        <f t="shared" si="1"/>
        <v>225.14</v>
      </c>
      <c r="I57" s="126">
        <f t="shared" si="8"/>
        <v>4356.4799999999996</v>
      </c>
      <c r="J57" s="70">
        <f t="shared" si="9"/>
        <v>3484.35</v>
      </c>
    </row>
    <row r="58" spans="1:10" x14ac:dyDescent="0.2">
      <c r="A58" s="127" t="s">
        <v>82</v>
      </c>
      <c r="B58" s="128"/>
      <c r="C58" s="66" t="s">
        <v>1058</v>
      </c>
      <c r="D58" s="66"/>
      <c r="E58" s="141"/>
      <c r="F58" s="143">
        <f>SUM(F59:F64)</f>
        <v>778.27</v>
      </c>
      <c r="G58" s="143">
        <f>SUM(G59:G64)</f>
        <v>17360.72</v>
      </c>
      <c r="H58" s="129">
        <f>SUM(H59:H64)</f>
        <v>973.04</v>
      </c>
      <c r="I58" s="129">
        <f>SUM(I59:I64)</f>
        <v>21706.079999999998</v>
      </c>
      <c r="J58" s="75">
        <f>SUM(J59:J64)</f>
        <v>17360.72</v>
      </c>
    </row>
    <row r="59" spans="1:10" ht="25.5" x14ac:dyDescent="0.2">
      <c r="A59" s="63" t="s">
        <v>83</v>
      </c>
      <c r="B59" s="124" t="s">
        <v>849</v>
      </c>
      <c r="C59" s="64" t="s">
        <v>84</v>
      </c>
      <c r="D59" s="125" t="s">
        <v>4</v>
      </c>
      <c r="E59" s="65">
        <f>6.15+20</f>
        <v>26.15</v>
      </c>
      <c r="F59" s="65">
        <v>101.82</v>
      </c>
      <c r="G59" s="65">
        <f t="shared" si="7"/>
        <v>2662.59</v>
      </c>
      <c r="H59" s="126">
        <f t="shared" si="1"/>
        <v>127.3</v>
      </c>
      <c r="I59" s="126">
        <f t="shared" si="8"/>
        <v>3329.03</v>
      </c>
      <c r="J59" s="70">
        <f t="shared" ref="J59:J64" si="10">TRUNC(E59 * F59, 2)</f>
        <v>2662.59</v>
      </c>
    </row>
    <row r="60" spans="1:10" ht="25.5" x14ac:dyDescent="0.2">
      <c r="A60" s="63" t="s">
        <v>1113</v>
      </c>
      <c r="B60" s="124" t="s">
        <v>844</v>
      </c>
      <c r="C60" s="64" t="s">
        <v>77</v>
      </c>
      <c r="D60" s="125" t="s">
        <v>30</v>
      </c>
      <c r="E60" s="65">
        <f>153.9</f>
        <v>153.9</v>
      </c>
      <c r="F60" s="65">
        <v>12.96</v>
      </c>
      <c r="G60" s="65">
        <f t="shared" si="7"/>
        <v>1994.54</v>
      </c>
      <c r="H60" s="126">
        <f t="shared" si="1"/>
        <v>16.2</v>
      </c>
      <c r="I60" s="126">
        <f t="shared" si="8"/>
        <v>2493.77</v>
      </c>
      <c r="J60" s="70">
        <f t="shared" si="10"/>
        <v>1994.54</v>
      </c>
    </row>
    <row r="61" spans="1:10" ht="25.5" x14ac:dyDescent="0.2">
      <c r="A61" s="63" t="s">
        <v>1114</v>
      </c>
      <c r="B61" s="124" t="s">
        <v>850</v>
      </c>
      <c r="C61" s="64" t="s">
        <v>85</v>
      </c>
      <c r="D61" s="125" t="s">
        <v>30</v>
      </c>
      <c r="E61" s="65">
        <f>215.5+105</f>
        <v>320.5</v>
      </c>
      <c r="F61" s="65">
        <v>11.14</v>
      </c>
      <c r="G61" s="65">
        <f t="shared" si="7"/>
        <v>3570.37</v>
      </c>
      <c r="H61" s="126">
        <f t="shared" si="1"/>
        <v>13.92</v>
      </c>
      <c r="I61" s="126">
        <f t="shared" si="8"/>
        <v>4464.03</v>
      </c>
      <c r="J61" s="70">
        <f t="shared" si="10"/>
        <v>3570.37</v>
      </c>
    </row>
    <row r="62" spans="1:10" ht="25.5" x14ac:dyDescent="0.2">
      <c r="A62" s="63" t="s">
        <v>1115</v>
      </c>
      <c r="B62" s="124" t="s">
        <v>846</v>
      </c>
      <c r="C62" s="64" t="s">
        <v>79</v>
      </c>
      <c r="D62" s="125" t="s">
        <v>30</v>
      </c>
      <c r="E62" s="65">
        <f>246.25+65</f>
        <v>311.25</v>
      </c>
      <c r="F62" s="65">
        <v>9.41</v>
      </c>
      <c r="G62" s="65">
        <f t="shared" si="7"/>
        <v>2928.86</v>
      </c>
      <c r="H62" s="126">
        <f t="shared" si="1"/>
        <v>11.76</v>
      </c>
      <c r="I62" s="126">
        <f t="shared" si="8"/>
        <v>3661.95</v>
      </c>
      <c r="J62" s="70">
        <f t="shared" si="10"/>
        <v>2928.86</v>
      </c>
    </row>
    <row r="63" spans="1:10" ht="25.5" x14ac:dyDescent="0.2">
      <c r="A63" s="63" t="s">
        <v>1116</v>
      </c>
      <c r="B63" s="124" t="s">
        <v>847</v>
      </c>
      <c r="C63" s="64" t="s">
        <v>80</v>
      </c>
      <c r="D63" s="125" t="s">
        <v>9</v>
      </c>
      <c r="E63" s="65">
        <f>6.15+3.5</f>
        <v>9.65</v>
      </c>
      <c r="F63" s="65">
        <v>462.87</v>
      </c>
      <c r="G63" s="65">
        <f t="shared" si="7"/>
        <v>4466.6899999999996</v>
      </c>
      <c r="H63" s="126">
        <f t="shared" si="1"/>
        <v>578.72</v>
      </c>
      <c r="I63" s="126">
        <f t="shared" si="8"/>
        <v>5584.7</v>
      </c>
      <c r="J63" s="70">
        <f t="shared" si="10"/>
        <v>4466.6899999999996</v>
      </c>
    </row>
    <row r="64" spans="1:10" ht="25.5" x14ac:dyDescent="0.2">
      <c r="A64" s="63" t="s">
        <v>1064</v>
      </c>
      <c r="B64" s="124" t="s">
        <v>848</v>
      </c>
      <c r="C64" s="64" t="s">
        <v>1086</v>
      </c>
      <c r="D64" s="125" t="s">
        <v>9</v>
      </c>
      <c r="E64" s="65">
        <f>6.15+3.5</f>
        <v>9.65</v>
      </c>
      <c r="F64" s="65">
        <v>180.07</v>
      </c>
      <c r="G64" s="65">
        <f t="shared" si="7"/>
        <v>1737.67</v>
      </c>
      <c r="H64" s="126">
        <f t="shared" si="1"/>
        <v>225.14</v>
      </c>
      <c r="I64" s="126">
        <f t="shared" si="8"/>
        <v>2172.6</v>
      </c>
      <c r="J64" s="70">
        <f t="shared" si="10"/>
        <v>1737.67</v>
      </c>
    </row>
    <row r="65" spans="1:10" x14ac:dyDescent="0.2">
      <c r="A65" s="127" t="s">
        <v>86</v>
      </c>
      <c r="B65" s="128"/>
      <c r="C65" s="66" t="s">
        <v>1059</v>
      </c>
      <c r="D65" s="66"/>
      <c r="E65" s="141"/>
      <c r="F65" s="143">
        <f>SUM(F66:F71)</f>
        <v>696</v>
      </c>
      <c r="G65" s="143">
        <f>SUM(G66:G71)</f>
        <v>6752.03</v>
      </c>
      <c r="H65" s="129">
        <f>SUM(H66:H71)</f>
        <v>870.18000000000006</v>
      </c>
      <c r="I65" s="129">
        <f>SUM(I66:I71)</f>
        <v>8442.0300000000007</v>
      </c>
      <c r="J65" s="75">
        <f>SUM(J66:J71)</f>
        <v>6752.03</v>
      </c>
    </row>
    <row r="66" spans="1:10" ht="25.5" x14ac:dyDescent="0.2">
      <c r="A66" s="63" t="s">
        <v>87</v>
      </c>
      <c r="B66" s="124" t="s">
        <v>851</v>
      </c>
      <c r="C66" s="64" t="s">
        <v>88</v>
      </c>
      <c r="D66" s="125" t="s">
        <v>9</v>
      </c>
      <c r="E66" s="65">
        <f>3.1+2</f>
        <v>5.0999999999999996</v>
      </c>
      <c r="F66" s="65">
        <v>15.49</v>
      </c>
      <c r="G66" s="65">
        <f t="shared" si="7"/>
        <v>78.989999999999995</v>
      </c>
      <c r="H66" s="126">
        <f t="shared" si="1"/>
        <v>19.36</v>
      </c>
      <c r="I66" s="126">
        <f t="shared" si="8"/>
        <v>98.76</v>
      </c>
      <c r="J66" s="70">
        <f t="shared" ref="J66:J71" si="11">TRUNC(E66* F66, 2)</f>
        <v>78.989999999999995</v>
      </c>
    </row>
    <row r="67" spans="1:10" ht="25.5" x14ac:dyDescent="0.2">
      <c r="A67" s="63" t="s">
        <v>1097</v>
      </c>
      <c r="B67" s="124" t="s">
        <v>852</v>
      </c>
      <c r="C67" s="64" t="s">
        <v>89</v>
      </c>
      <c r="D67" s="125" t="s">
        <v>30</v>
      </c>
      <c r="E67" s="65">
        <f>61.55+30</f>
        <v>91.55</v>
      </c>
      <c r="F67" s="65">
        <v>12.56</v>
      </c>
      <c r="G67" s="65">
        <f t="shared" si="7"/>
        <v>1149.8599999999999</v>
      </c>
      <c r="H67" s="126">
        <f t="shared" si="1"/>
        <v>15.7</v>
      </c>
      <c r="I67" s="126">
        <f t="shared" si="8"/>
        <v>1437.66</v>
      </c>
      <c r="J67" s="70">
        <f t="shared" si="11"/>
        <v>1149.8599999999999</v>
      </c>
    </row>
    <row r="68" spans="1:10" ht="25.5" x14ac:dyDescent="0.2">
      <c r="A68" s="63" t="s">
        <v>1098</v>
      </c>
      <c r="B68" s="124" t="s">
        <v>853</v>
      </c>
      <c r="C68" s="64" t="s">
        <v>90</v>
      </c>
      <c r="D68" s="125" t="s">
        <v>30</v>
      </c>
      <c r="E68" s="65">
        <f>123.1+40</f>
        <v>163.1</v>
      </c>
      <c r="F68" s="65">
        <v>11.99</v>
      </c>
      <c r="G68" s="65">
        <f t="shared" si="7"/>
        <v>1955.56</v>
      </c>
      <c r="H68" s="126">
        <f t="shared" si="1"/>
        <v>14.99</v>
      </c>
      <c r="I68" s="126">
        <f t="shared" si="8"/>
        <v>2445.0300000000002</v>
      </c>
      <c r="J68" s="70">
        <f t="shared" si="11"/>
        <v>1955.56</v>
      </c>
    </row>
    <row r="69" spans="1:10" ht="25.5" x14ac:dyDescent="0.2">
      <c r="A69" s="63" t="s">
        <v>1099</v>
      </c>
      <c r="B69" s="124" t="s">
        <v>854</v>
      </c>
      <c r="C69" s="64" t="s">
        <v>91</v>
      </c>
      <c r="D69" s="125" t="s">
        <v>30</v>
      </c>
      <c r="E69" s="65">
        <f>61.55+10</f>
        <v>71.55</v>
      </c>
      <c r="F69" s="65">
        <v>13.02</v>
      </c>
      <c r="G69" s="65">
        <f t="shared" si="7"/>
        <v>931.58</v>
      </c>
      <c r="H69" s="126">
        <f t="shared" ref="H69:H125" si="12">TRUNC(F69*(1+I$8),2)</f>
        <v>16.27</v>
      </c>
      <c r="I69" s="126">
        <f t="shared" si="8"/>
        <v>1164.75</v>
      </c>
      <c r="J69" s="70">
        <f t="shared" si="11"/>
        <v>931.58</v>
      </c>
    </row>
    <row r="70" spans="1:10" ht="27.75" customHeight="1" x14ac:dyDescent="0.2">
      <c r="A70" s="63" t="s">
        <v>1100</v>
      </c>
      <c r="B70" s="124" t="s">
        <v>847</v>
      </c>
      <c r="C70" s="64" t="s">
        <v>92</v>
      </c>
      <c r="D70" s="125" t="s">
        <v>9</v>
      </c>
      <c r="E70" s="65">
        <f>3.1+1</f>
        <v>4.0999999999999996</v>
      </c>
      <c r="F70" s="65">
        <v>462.87</v>
      </c>
      <c r="G70" s="65">
        <f t="shared" si="7"/>
        <v>1897.76</v>
      </c>
      <c r="H70" s="126">
        <f t="shared" si="12"/>
        <v>578.72</v>
      </c>
      <c r="I70" s="126">
        <f t="shared" si="8"/>
        <v>2372.7600000000002</v>
      </c>
      <c r="J70" s="70">
        <f t="shared" si="11"/>
        <v>1897.76</v>
      </c>
    </row>
    <row r="71" spans="1:10" ht="30" customHeight="1" x14ac:dyDescent="0.2">
      <c r="A71" s="63" t="s">
        <v>1214</v>
      </c>
      <c r="B71" s="124" t="s">
        <v>848</v>
      </c>
      <c r="C71" s="64" t="s">
        <v>81</v>
      </c>
      <c r="D71" s="125" t="s">
        <v>9</v>
      </c>
      <c r="E71" s="65">
        <f>3.1+1</f>
        <v>4.0999999999999996</v>
      </c>
      <c r="F71" s="65">
        <v>180.07</v>
      </c>
      <c r="G71" s="65">
        <f t="shared" si="7"/>
        <v>738.28</v>
      </c>
      <c r="H71" s="126">
        <f t="shared" si="12"/>
        <v>225.14</v>
      </c>
      <c r="I71" s="126">
        <f t="shared" si="8"/>
        <v>923.07</v>
      </c>
      <c r="J71" s="70">
        <f t="shared" si="11"/>
        <v>738.28</v>
      </c>
    </row>
    <row r="72" spans="1:10" x14ac:dyDescent="0.2">
      <c r="A72" s="127" t="s">
        <v>93</v>
      </c>
      <c r="B72" s="128"/>
      <c r="C72" s="66" t="s">
        <v>1060</v>
      </c>
      <c r="D72" s="66"/>
      <c r="E72" s="141"/>
      <c r="F72" s="143">
        <f>F73+F74</f>
        <v>642.94000000000005</v>
      </c>
      <c r="G72" s="143">
        <f>G73+G74</f>
        <v>2185.98</v>
      </c>
      <c r="H72" s="129">
        <f>H73+H74</f>
        <v>803.86</v>
      </c>
      <c r="I72" s="129">
        <f>SUM(I73:I74)</f>
        <v>2733.12</v>
      </c>
      <c r="J72" s="75">
        <f>SUM(J73:J74)</f>
        <v>2185.98</v>
      </c>
    </row>
    <row r="73" spans="1:10" ht="25.5" x14ac:dyDescent="0.2">
      <c r="A73" s="63" t="s">
        <v>94</v>
      </c>
      <c r="B73" s="124" t="s">
        <v>847</v>
      </c>
      <c r="C73" s="64" t="s">
        <v>80</v>
      </c>
      <c r="D73" s="125" t="s">
        <v>9</v>
      </c>
      <c r="E73" s="65">
        <f>2.4+1</f>
        <v>3.4</v>
      </c>
      <c r="F73" s="65">
        <v>462.87</v>
      </c>
      <c r="G73" s="65">
        <f t="shared" si="7"/>
        <v>1573.75</v>
      </c>
      <c r="H73" s="126">
        <f t="shared" si="12"/>
        <v>578.72</v>
      </c>
      <c r="I73" s="126">
        <f t="shared" si="8"/>
        <v>1967.65</v>
      </c>
      <c r="J73" s="70">
        <f>TRUNC(E73* F73, 2)</f>
        <v>1573.75</v>
      </c>
    </row>
    <row r="74" spans="1:10" ht="25.5" x14ac:dyDescent="0.2">
      <c r="A74" s="63" t="s">
        <v>95</v>
      </c>
      <c r="B74" s="124" t="s">
        <v>848</v>
      </c>
      <c r="C74" s="64" t="s">
        <v>81</v>
      </c>
      <c r="D74" s="125" t="s">
        <v>9</v>
      </c>
      <c r="E74" s="65">
        <f>2.4+1</f>
        <v>3.4</v>
      </c>
      <c r="F74" s="65">
        <v>180.07</v>
      </c>
      <c r="G74" s="65">
        <f t="shared" si="7"/>
        <v>612.23</v>
      </c>
      <c r="H74" s="126">
        <f t="shared" si="12"/>
        <v>225.14</v>
      </c>
      <c r="I74" s="126">
        <f t="shared" si="8"/>
        <v>765.47</v>
      </c>
      <c r="J74" s="70">
        <f>TRUNC(E74 * F74, 2)</f>
        <v>612.23</v>
      </c>
    </row>
    <row r="75" spans="1:10" x14ac:dyDescent="0.2">
      <c r="A75" s="127" t="s">
        <v>96</v>
      </c>
      <c r="B75" s="128"/>
      <c r="C75" s="66" t="s">
        <v>97</v>
      </c>
      <c r="D75" s="66"/>
      <c r="E75" s="141"/>
      <c r="F75" s="143">
        <f>F76+F80</f>
        <v>224.39</v>
      </c>
      <c r="G75" s="143">
        <f>G76+G80</f>
        <v>56965.919999999998</v>
      </c>
      <c r="H75" s="129">
        <f>H76+H80</f>
        <v>280.52999999999997</v>
      </c>
      <c r="I75" s="129">
        <f>I76+I80</f>
        <v>71224.47</v>
      </c>
      <c r="J75" s="75">
        <f>J76+J80</f>
        <v>56965.919999999998</v>
      </c>
    </row>
    <row r="76" spans="1:10" ht="25.5" x14ac:dyDescent="0.2">
      <c r="A76" s="127" t="s">
        <v>98</v>
      </c>
      <c r="B76" s="128"/>
      <c r="C76" s="66" t="s">
        <v>99</v>
      </c>
      <c r="D76" s="66"/>
      <c r="E76" s="141"/>
      <c r="F76" s="143">
        <f>SUM(F77:F79)</f>
        <v>59.069999999999993</v>
      </c>
      <c r="G76" s="143">
        <f>G77+G78+G79</f>
        <v>41830.879999999997</v>
      </c>
      <c r="H76" s="129">
        <f>SUM(H77:H79)</f>
        <v>73.839999999999989</v>
      </c>
      <c r="I76" s="129">
        <f>SUM(I77:I79)</f>
        <v>52301.130000000005</v>
      </c>
      <c r="J76" s="75">
        <f>SUM(J77:J79)</f>
        <v>41830.879999999997</v>
      </c>
    </row>
    <row r="77" spans="1:10" ht="40.5" customHeight="1" x14ac:dyDescent="0.2">
      <c r="A77" s="63" t="s">
        <v>100</v>
      </c>
      <c r="B77" s="124" t="s">
        <v>855</v>
      </c>
      <c r="C77" s="64" t="s">
        <v>101</v>
      </c>
      <c r="D77" s="125" t="s">
        <v>30</v>
      </c>
      <c r="E77" s="65">
        <v>593.9</v>
      </c>
      <c r="F77" s="65">
        <v>18.29</v>
      </c>
      <c r="G77" s="65">
        <f t="shared" ref="G77:G90" si="13">TRUNC(E77*F77,2)</f>
        <v>10862.43</v>
      </c>
      <c r="H77" s="126">
        <f t="shared" si="12"/>
        <v>22.86</v>
      </c>
      <c r="I77" s="126">
        <f t="shared" ref="I77:I90" si="14">TRUNC(G77*(1+I$8),2)</f>
        <v>13581.29</v>
      </c>
      <c r="J77" s="70">
        <f>TRUNC(E77 * F77, 2)</f>
        <v>10862.43</v>
      </c>
    </row>
    <row r="78" spans="1:10" ht="41.25" customHeight="1" x14ac:dyDescent="0.2">
      <c r="A78" s="63" t="s">
        <v>1102</v>
      </c>
      <c r="B78" s="124" t="s">
        <v>856</v>
      </c>
      <c r="C78" s="64" t="s">
        <v>102</v>
      </c>
      <c r="D78" s="125" t="s">
        <v>30</v>
      </c>
      <c r="E78" s="65">
        <f>747.8+750</f>
        <v>1497.8</v>
      </c>
      <c r="F78" s="65">
        <v>18.59</v>
      </c>
      <c r="G78" s="65">
        <f t="shared" si="13"/>
        <v>27844.1</v>
      </c>
      <c r="H78" s="126">
        <f t="shared" si="12"/>
        <v>23.24</v>
      </c>
      <c r="I78" s="126">
        <f t="shared" si="14"/>
        <v>34813.47</v>
      </c>
      <c r="J78" s="70">
        <f>TRUNC(E78 * F78, 2)</f>
        <v>27844.1</v>
      </c>
    </row>
    <row r="79" spans="1:10" ht="40.5" customHeight="1" x14ac:dyDescent="0.2">
      <c r="A79" s="63" t="s">
        <v>1223</v>
      </c>
      <c r="B79" s="124" t="s">
        <v>857</v>
      </c>
      <c r="C79" s="64" t="s">
        <v>103</v>
      </c>
      <c r="D79" s="125" t="s">
        <v>30</v>
      </c>
      <c r="E79" s="65">
        <v>140.80000000000001</v>
      </c>
      <c r="F79" s="65">
        <v>22.19</v>
      </c>
      <c r="G79" s="65">
        <f t="shared" si="13"/>
        <v>3124.35</v>
      </c>
      <c r="H79" s="126">
        <f t="shared" si="12"/>
        <v>27.74</v>
      </c>
      <c r="I79" s="126">
        <f t="shared" si="14"/>
        <v>3906.37</v>
      </c>
      <c r="J79" s="70">
        <f>TRUNC(E79 * F79, 2)</f>
        <v>3124.35</v>
      </c>
    </row>
    <row r="80" spans="1:10" x14ac:dyDescent="0.2">
      <c r="A80" s="127" t="s">
        <v>104</v>
      </c>
      <c r="B80" s="128"/>
      <c r="C80" s="66" t="s">
        <v>105</v>
      </c>
      <c r="D80" s="66"/>
      <c r="E80" s="141"/>
      <c r="F80" s="143">
        <f>F81</f>
        <v>165.32</v>
      </c>
      <c r="G80" s="143">
        <f>G81</f>
        <v>15135.04</v>
      </c>
      <c r="H80" s="129">
        <f>H81</f>
        <v>206.69</v>
      </c>
      <c r="I80" s="129">
        <f>I81</f>
        <v>18923.34</v>
      </c>
      <c r="J80" s="75">
        <f>J81</f>
        <v>15135.04</v>
      </c>
    </row>
    <row r="81" spans="1:10" ht="26.25" customHeight="1" x14ac:dyDescent="0.2">
      <c r="A81" s="63" t="s">
        <v>106</v>
      </c>
      <c r="B81" s="124" t="s">
        <v>858</v>
      </c>
      <c r="C81" s="64" t="s">
        <v>107</v>
      </c>
      <c r="D81" s="125" t="s">
        <v>4</v>
      </c>
      <c r="E81" s="65">
        <f>39.55+52</f>
        <v>91.55</v>
      </c>
      <c r="F81" s="65">
        <v>165.32</v>
      </c>
      <c r="G81" s="65">
        <f t="shared" si="13"/>
        <v>15135.04</v>
      </c>
      <c r="H81" s="126">
        <f t="shared" si="12"/>
        <v>206.69</v>
      </c>
      <c r="I81" s="126">
        <f t="shared" si="14"/>
        <v>18923.34</v>
      </c>
      <c r="J81" s="70">
        <f>TRUNC(E81* F81, 2)</f>
        <v>15135.04</v>
      </c>
    </row>
    <row r="82" spans="1:10" x14ac:dyDescent="0.2">
      <c r="A82" s="127" t="s">
        <v>108</v>
      </c>
      <c r="B82" s="128"/>
      <c r="C82" s="66" t="s">
        <v>109</v>
      </c>
      <c r="D82" s="66"/>
      <c r="E82" s="141"/>
      <c r="F82" s="143">
        <f>SUM(F83:F90)</f>
        <v>792.79</v>
      </c>
      <c r="G82" s="143">
        <f>G83+G84+G85+G86+G87+G88+G89+G90</f>
        <v>32054.87</v>
      </c>
      <c r="H82" s="129">
        <f>SUM(H83:H90)</f>
        <v>991.17</v>
      </c>
      <c r="I82" s="129">
        <f>SUM(I83:I90)</f>
        <v>40078.17</v>
      </c>
      <c r="J82" s="75">
        <f>SUM(J83:J90)</f>
        <v>32054.87</v>
      </c>
    </row>
    <row r="83" spans="1:10" ht="42" customHeight="1" x14ac:dyDescent="0.2">
      <c r="A83" s="63" t="s">
        <v>110</v>
      </c>
      <c r="B83" s="124" t="s">
        <v>859</v>
      </c>
      <c r="C83" s="64" t="s">
        <v>111</v>
      </c>
      <c r="D83" s="125" t="s">
        <v>4</v>
      </c>
      <c r="E83" s="65">
        <v>30.8</v>
      </c>
      <c r="F83" s="65">
        <v>82.32</v>
      </c>
      <c r="G83" s="65">
        <f t="shared" si="13"/>
        <v>2535.4499999999998</v>
      </c>
      <c r="H83" s="126">
        <f t="shared" si="12"/>
        <v>102.92</v>
      </c>
      <c r="I83" s="126">
        <f t="shared" si="14"/>
        <v>3170.07</v>
      </c>
      <c r="J83" s="70">
        <f>TRUNC(F83 * E83, 2)</f>
        <v>2535.4499999999998</v>
      </c>
    </row>
    <row r="84" spans="1:10" ht="28.5" customHeight="1" x14ac:dyDescent="0.2">
      <c r="A84" s="63" t="s">
        <v>112</v>
      </c>
      <c r="B84" s="124" t="s">
        <v>113</v>
      </c>
      <c r="C84" s="64" t="s">
        <v>114</v>
      </c>
      <c r="D84" s="125" t="s">
        <v>4</v>
      </c>
      <c r="E84" s="65">
        <f>55.85+50</f>
        <v>105.85</v>
      </c>
      <c r="F84" s="65">
        <v>65.430000000000007</v>
      </c>
      <c r="G84" s="65">
        <f t="shared" si="13"/>
        <v>6925.76</v>
      </c>
      <c r="H84" s="126">
        <f t="shared" si="12"/>
        <v>81.8</v>
      </c>
      <c r="I84" s="126">
        <f t="shared" si="14"/>
        <v>8659.27</v>
      </c>
      <c r="J84" s="70">
        <f t="shared" ref="J84:J90" si="15">TRUNC(F84 * E84, 2)</f>
        <v>6925.76</v>
      </c>
    </row>
    <row r="85" spans="1:10" ht="27.75" customHeight="1" x14ac:dyDescent="0.2">
      <c r="A85" s="63" t="s">
        <v>115</v>
      </c>
      <c r="B85" s="124" t="s">
        <v>860</v>
      </c>
      <c r="C85" s="64" t="s">
        <v>116</v>
      </c>
      <c r="D85" s="125" t="s">
        <v>4</v>
      </c>
      <c r="E85" s="65">
        <f>30.8+16</f>
        <v>46.8</v>
      </c>
      <c r="F85" s="65">
        <v>82.62</v>
      </c>
      <c r="G85" s="65">
        <f t="shared" si="13"/>
        <v>3866.61</v>
      </c>
      <c r="H85" s="126">
        <f t="shared" si="12"/>
        <v>103.29</v>
      </c>
      <c r="I85" s="126">
        <f t="shared" si="14"/>
        <v>4834.42</v>
      </c>
      <c r="J85" s="70">
        <f t="shared" si="15"/>
        <v>3866.61</v>
      </c>
    </row>
    <row r="86" spans="1:10" ht="16.5" customHeight="1" x14ac:dyDescent="0.2">
      <c r="A86" s="63" t="s">
        <v>117</v>
      </c>
      <c r="B86" s="124" t="s">
        <v>861</v>
      </c>
      <c r="C86" s="64" t="s">
        <v>118</v>
      </c>
      <c r="D86" s="125" t="s">
        <v>267</v>
      </c>
      <c r="E86" s="65">
        <f>15.4+10.5</f>
        <v>25.9</v>
      </c>
      <c r="F86" s="65">
        <v>36.11</v>
      </c>
      <c r="G86" s="65">
        <f t="shared" si="13"/>
        <v>935.24</v>
      </c>
      <c r="H86" s="126">
        <f t="shared" si="12"/>
        <v>45.14</v>
      </c>
      <c r="I86" s="126">
        <f t="shared" si="14"/>
        <v>1169.33</v>
      </c>
      <c r="J86" s="70">
        <f t="shared" si="15"/>
        <v>935.24</v>
      </c>
    </row>
    <row r="87" spans="1:10" ht="28.5" customHeight="1" x14ac:dyDescent="0.2">
      <c r="A87" s="63" t="s">
        <v>119</v>
      </c>
      <c r="B87" s="124" t="s">
        <v>862</v>
      </c>
      <c r="C87" s="64" t="s">
        <v>120</v>
      </c>
      <c r="D87" s="125" t="s">
        <v>4</v>
      </c>
      <c r="E87" s="65">
        <f>30.8+36</f>
        <v>66.8</v>
      </c>
      <c r="F87" s="65">
        <v>120.53</v>
      </c>
      <c r="G87" s="65">
        <f t="shared" si="13"/>
        <v>8051.4</v>
      </c>
      <c r="H87" s="126">
        <f t="shared" si="12"/>
        <v>150.69</v>
      </c>
      <c r="I87" s="126">
        <f t="shared" si="14"/>
        <v>10066.66</v>
      </c>
      <c r="J87" s="70">
        <f t="shared" si="15"/>
        <v>8051.4</v>
      </c>
    </row>
    <row r="88" spans="1:10" ht="31.5" customHeight="1" x14ac:dyDescent="0.2">
      <c r="A88" s="63" t="s">
        <v>121</v>
      </c>
      <c r="B88" s="124" t="s">
        <v>863</v>
      </c>
      <c r="C88" s="64" t="s">
        <v>122</v>
      </c>
      <c r="D88" s="125" t="s">
        <v>4</v>
      </c>
      <c r="E88" s="65">
        <f>9.25+5</f>
        <v>14.25</v>
      </c>
      <c r="F88" s="65">
        <v>190.03</v>
      </c>
      <c r="G88" s="65">
        <f t="shared" si="13"/>
        <v>2707.92</v>
      </c>
      <c r="H88" s="126">
        <f t="shared" si="12"/>
        <v>237.59</v>
      </c>
      <c r="I88" s="126">
        <f t="shared" si="14"/>
        <v>3385.71</v>
      </c>
      <c r="J88" s="70">
        <f t="shared" si="15"/>
        <v>2707.92</v>
      </c>
    </row>
    <row r="89" spans="1:10" ht="41.25" customHeight="1" x14ac:dyDescent="0.2">
      <c r="A89" s="63" t="s">
        <v>123</v>
      </c>
      <c r="B89" s="124" t="s">
        <v>864</v>
      </c>
      <c r="C89" s="64" t="s">
        <v>124</v>
      </c>
      <c r="D89" s="125" t="s">
        <v>267</v>
      </c>
      <c r="E89" s="65">
        <v>31.25</v>
      </c>
      <c r="F89" s="65">
        <v>66.87</v>
      </c>
      <c r="G89" s="65">
        <f t="shared" si="13"/>
        <v>2089.6799999999998</v>
      </c>
      <c r="H89" s="126">
        <f t="shared" si="12"/>
        <v>83.6</v>
      </c>
      <c r="I89" s="126">
        <f t="shared" si="14"/>
        <v>2612.7199999999998</v>
      </c>
      <c r="J89" s="70">
        <f t="shared" si="15"/>
        <v>2089.6799999999998</v>
      </c>
    </row>
    <row r="90" spans="1:10" ht="30" customHeight="1" x14ac:dyDescent="0.2">
      <c r="A90" s="63" t="s">
        <v>125</v>
      </c>
      <c r="B90" s="124" t="s">
        <v>126</v>
      </c>
      <c r="C90" s="64" t="s">
        <v>127</v>
      </c>
      <c r="D90" s="125" t="s">
        <v>4</v>
      </c>
      <c r="E90" s="65">
        <f>15.4+17.8</f>
        <v>33.200000000000003</v>
      </c>
      <c r="F90" s="65">
        <v>148.88</v>
      </c>
      <c r="G90" s="65">
        <f t="shared" si="13"/>
        <v>4942.8100000000004</v>
      </c>
      <c r="H90" s="126">
        <f t="shared" si="12"/>
        <v>186.14</v>
      </c>
      <c r="I90" s="126">
        <f t="shared" si="14"/>
        <v>6179.99</v>
      </c>
      <c r="J90" s="70">
        <f t="shared" si="15"/>
        <v>4942.8100000000004</v>
      </c>
    </row>
    <row r="91" spans="1:10" x14ac:dyDescent="0.2">
      <c r="A91" s="127" t="s">
        <v>128</v>
      </c>
      <c r="B91" s="128"/>
      <c r="C91" s="66" t="s">
        <v>129</v>
      </c>
      <c r="D91" s="66"/>
      <c r="E91" s="141"/>
      <c r="F91" s="143">
        <f>F92+F94+F98+F107+F110+F114+F117</f>
        <v>14311.320000000002</v>
      </c>
      <c r="G91" s="143">
        <f>G92+G94+G98+G107+G110+G114+G117</f>
        <v>215876.36</v>
      </c>
      <c r="H91" s="129">
        <f>H92+H94+H98+H107+H110+H114+H117</f>
        <v>17893.330000000002</v>
      </c>
      <c r="I91" s="129">
        <f>I92+I94+I97+I98+I107+I110+I114+I117</f>
        <v>269910.11</v>
      </c>
      <c r="J91" s="75">
        <f>J92+J94+J97+J98+J107+J110+J114+J117</f>
        <v>215876.36</v>
      </c>
    </row>
    <row r="92" spans="1:10" x14ac:dyDescent="0.2">
      <c r="A92" s="127" t="s">
        <v>130</v>
      </c>
      <c r="B92" s="128"/>
      <c r="C92" s="66" t="s">
        <v>131</v>
      </c>
      <c r="D92" s="66"/>
      <c r="E92" s="141"/>
      <c r="F92" s="143">
        <f>F93</f>
        <v>196.37</v>
      </c>
      <c r="G92" s="143">
        <f>G93</f>
        <v>7776.25</v>
      </c>
      <c r="H92" s="129">
        <f>H93</f>
        <v>245.52</v>
      </c>
      <c r="I92" s="129">
        <f>I93</f>
        <v>9722.64</v>
      </c>
      <c r="J92" s="75">
        <f>J93</f>
        <v>7776.25</v>
      </c>
    </row>
    <row r="93" spans="1:10" ht="24" x14ac:dyDescent="0.2">
      <c r="A93" s="63" t="s">
        <v>132</v>
      </c>
      <c r="B93" s="124" t="s">
        <v>133</v>
      </c>
      <c r="C93" s="64" t="s">
        <v>134</v>
      </c>
      <c r="D93" s="125" t="s">
        <v>4</v>
      </c>
      <c r="E93" s="65">
        <f>24.2+15.4</f>
        <v>39.6</v>
      </c>
      <c r="F93" s="65">
        <v>196.37</v>
      </c>
      <c r="G93" s="65">
        <f t="shared" ref="G93:G119" si="16">TRUNC(E93*F93,2)</f>
        <v>7776.25</v>
      </c>
      <c r="H93" s="126">
        <f t="shared" si="12"/>
        <v>245.52</v>
      </c>
      <c r="I93" s="126">
        <f t="shared" ref="I93:I96" si="17">TRUNC(G93*(1+I$8),2)</f>
        <v>9722.64</v>
      </c>
      <c r="J93" s="70">
        <f>TRUNC(F93 * E93, 2)</f>
        <v>7776.25</v>
      </c>
    </row>
    <row r="94" spans="1:10" x14ac:dyDescent="0.2">
      <c r="A94" s="127" t="s">
        <v>135</v>
      </c>
      <c r="B94" s="128"/>
      <c r="C94" s="66" t="s">
        <v>136</v>
      </c>
      <c r="D94" s="66"/>
      <c r="E94" s="141"/>
      <c r="F94" s="143">
        <f>F95+F96</f>
        <v>925.55</v>
      </c>
      <c r="G94" s="143">
        <f>G95+G96</f>
        <v>52756.83</v>
      </c>
      <c r="H94" s="129">
        <f>H95+H96</f>
        <v>1157.21</v>
      </c>
      <c r="I94" s="129">
        <f>SUM(I95:I96)</f>
        <v>65961.86</v>
      </c>
      <c r="J94" s="75">
        <f>SUM(J95:J96)</f>
        <v>52756.83</v>
      </c>
    </row>
    <row r="95" spans="1:10" ht="42" customHeight="1" x14ac:dyDescent="0.2">
      <c r="A95" s="63" t="s">
        <v>137</v>
      </c>
      <c r="B95" s="124" t="s">
        <v>865</v>
      </c>
      <c r="C95" s="64" t="s">
        <v>138</v>
      </c>
      <c r="D95" s="125" t="s">
        <v>4</v>
      </c>
      <c r="E95" s="65">
        <f>48.4+7</f>
        <v>55.4</v>
      </c>
      <c r="F95" s="65">
        <v>623.23</v>
      </c>
      <c r="G95" s="65">
        <f t="shared" si="16"/>
        <v>34526.94</v>
      </c>
      <c r="H95" s="126">
        <f t="shared" si="12"/>
        <v>779.22</v>
      </c>
      <c r="I95" s="126">
        <f t="shared" si="17"/>
        <v>43169.03</v>
      </c>
      <c r="J95" s="70">
        <f>TRUNC(F95 * E95, 2)</f>
        <v>34526.94</v>
      </c>
    </row>
    <row r="96" spans="1:10" ht="29.25" customHeight="1" x14ac:dyDescent="0.2">
      <c r="A96" s="63" t="s">
        <v>139</v>
      </c>
      <c r="B96" s="124" t="s">
        <v>140</v>
      </c>
      <c r="C96" s="64" t="s">
        <v>141</v>
      </c>
      <c r="D96" s="125" t="s">
        <v>4</v>
      </c>
      <c r="E96" s="65">
        <f>34.3+26</f>
        <v>60.3</v>
      </c>
      <c r="F96" s="65">
        <v>302.32</v>
      </c>
      <c r="G96" s="65">
        <f t="shared" si="16"/>
        <v>18229.89</v>
      </c>
      <c r="H96" s="126">
        <f t="shared" si="12"/>
        <v>377.99</v>
      </c>
      <c r="I96" s="126">
        <f t="shared" si="17"/>
        <v>22792.83</v>
      </c>
      <c r="J96" s="70">
        <f>TRUNC(F96 * E96, 2)</f>
        <v>18229.89</v>
      </c>
    </row>
    <row r="97" spans="1:10" ht="25.5" hidden="1" x14ac:dyDescent="0.2">
      <c r="A97" s="127" t="s">
        <v>142</v>
      </c>
      <c r="B97" s="128"/>
      <c r="C97" s="66" t="s">
        <v>143</v>
      </c>
      <c r="D97" s="66"/>
      <c r="E97" s="141"/>
      <c r="F97" s="142"/>
      <c r="G97" s="65">
        <f t="shared" si="16"/>
        <v>0</v>
      </c>
      <c r="H97" s="126">
        <f t="shared" si="12"/>
        <v>0</v>
      </c>
      <c r="I97" s="129">
        <v>0</v>
      </c>
      <c r="J97" s="75">
        <v>0</v>
      </c>
    </row>
    <row r="98" spans="1:10" x14ac:dyDescent="0.2">
      <c r="A98" s="127" t="s">
        <v>1031</v>
      </c>
      <c r="B98" s="128"/>
      <c r="C98" s="66" t="s">
        <v>144</v>
      </c>
      <c r="D98" s="66"/>
      <c r="E98" s="141"/>
      <c r="F98" s="143">
        <f>SUM(F99:F106)</f>
        <v>5588.32</v>
      </c>
      <c r="G98" s="143">
        <f>SUM(G99:G106)</f>
        <v>50723.700000000004</v>
      </c>
      <c r="H98" s="129">
        <f>SUM(H99:H106)</f>
        <v>6987.0300000000007</v>
      </c>
      <c r="I98" s="129">
        <f>SUM(I99:I106)</f>
        <v>63419.789999999994</v>
      </c>
      <c r="J98" s="75">
        <f>SUM(J99:J106)</f>
        <v>50723.700000000004</v>
      </c>
    </row>
    <row r="99" spans="1:10" ht="29.25" customHeight="1" x14ac:dyDescent="0.2">
      <c r="A99" s="63" t="s">
        <v>1032</v>
      </c>
      <c r="B99" s="124" t="s">
        <v>146</v>
      </c>
      <c r="C99" s="64" t="s">
        <v>147</v>
      </c>
      <c r="D99" s="125" t="s">
        <v>168</v>
      </c>
      <c r="E99" s="65">
        <f>26+13</f>
        <v>39</v>
      </c>
      <c r="F99" s="65">
        <v>326.83</v>
      </c>
      <c r="G99" s="65">
        <f t="shared" si="16"/>
        <v>12746.37</v>
      </c>
      <c r="H99" s="126">
        <f t="shared" si="12"/>
        <v>408.63</v>
      </c>
      <c r="I99" s="126">
        <f t="shared" ref="I99:I119" si="18">TRUNC(G99*(1+I$8),2)</f>
        <v>15936.78</v>
      </c>
      <c r="J99" s="70">
        <f>TRUNC(F99* E99, 2)</f>
        <v>12746.37</v>
      </c>
    </row>
    <row r="100" spans="1:10" ht="42" customHeight="1" x14ac:dyDescent="0.2">
      <c r="A100" s="63" t="s">
        <v>1033</v>
      </c>
      <c r="B100" s="124" t="s">
        <v>148</v>
      </c>
      <c r="C100" s="64" t="s">
        <v>149</v>
      </c>
      <c r="D100" s="125" t="s">
        <v>168</v>
      </c>
      <c r="E100" s="65">
        <f>6+3</f>
        <v>9</v>
      </c>
      <c r="F100" s="65">
        <v>1045.0999999999999</v>
      </c>
      <c r="G100" s="65">
        <f t="shared" si="16"/>
        <v>9405.9</v>
      </c>
      <c r="H100" s="126">
        <f t="shared" si="12"/>
        <v>1306.68</v>
      </c>
      <c r="I100" s="126">
        <f t="shared" si="18"/>
        <v>11760.19</v>
      </c>
      <c r="J100" s="70">
        <f t="shared" ref="J100:J106" si="19">TRUNC(F100* E100, 2)</f>
        <v>9405.9</v>
      </c>
    </row>
    <row r="101" spans="1:10" ht="27.75" customHeight="1" x14ac:dyDescent="0.2">
      <c r="A101" s="63" t="s">
        <v>1034</v>
      </c>
      <c r="B101" s="124" t="s">
        <v>150</v>
      </c>
      <c r="C101" s="64" t="s">
        <v>151</v>
      </c>
      <c r="D101" s="125" t="s">
        <v>168</v>
      </c>
      <c r="E101" s="65">
        <f>10+5</f>
        <v>15</v>
      </c>
      <c r="F101" s="65">
        <v>254.79</v>
      </c>
      <c r="G101" s="65">
        <f t="shared" si="16"/>
        <v>3821.85</v>
      </c>
      <c r="H101" s="126">
        <f t="shared" si="12"/>
        <v>318.56</v>
      </c>
      <c r="I101" s="126">
        <f t="shared" si="18"/>
        <v>4778.45</v>
      </c>
      <c r="J101" s="70">
        <f t="shared" si="19"/>
        <v>3821.85</v>
      </c>
    </row>
    <row r="102" spans="1:10" ht="28.5" customHeight="1" x14ac:dyDescent="0.2">
      <c r="A102" s="63" t="s">
        <v>1035</v>
      </c>
      <c r="B102" s="124" t="s">
        <v>152</v>
      </c>
      <c r="C102" s="64" t="s">
        <v>153</v>
      </c>
      <c r="D102" s="125" t="s">
        <v>168</v>
      </c>
      <c r="E102" s="65">
        <f>3+2</f>
        <v>5</v>
      </c>
      <c r="F102" s="65">
        <v>233.67</v>
      </c>
      <c r="G102" s="65">
        <f t="shared" si="16"/>
        <v>1168.3499999999999</v>
      </c>
      <c r="H102" s="126">
        <f t="shared" si="12"/>
        <v>292.14999999999998</v>
      </c>
      <c r="I102" s="126">
        <f t="shared" si="18"/>
        <v>1460.78</v>
      </c>
      <c r="J102" s="70">
        <f t="shared" si="19"/>
        <v>1168.3499999999999</v>
      </c>
    </row>
    <row r="103" spans="1:10" ht="27" customHeight="1" x14ac:dyDescent="0.2">
      <c r="A103" s="63" t="s">
        <v>1036</v>
      </c>
      <c r="B103" s="124" t="s">
        <v>154</v>
      </c>
      <c r="C103" s="64" t="s">
        <v>155</v>
      </c>
      <c r="D103" s="125" t="s">
        <v>168</v>
      </c>
      <c r="E103" s="65">
        <f>3+2</f>
        <v>5</v>
      </c>
      <c r="F103" s="65">
        <v>228.04</v>
      </c>
      <c r="G103" s="65">
        <f t="shared" si="16"/>
        <v>1140.2</v>
      </c>
      <c r="H103" s="126">
        <f t="shared" si="12"/>
        <v>285.11</v>
      </c>
      <c r="I103" s="126">
        <f t="shared" si="18"/>
        <v>1425.59</v>
      </c>
      <c r="J103" s="70">
        <f t="shared" si="19"/>
        <v>1140.2</v>
      </c>
    </row>
    <row r="104" spans="1:10" ht="30" customHeight="1" x14ac:dyDescent="0.2">
      <c r="A104" s="63" t="s">
        <v>1037</v>
      </c>
      <c r="B104" s="124" t="s">
        <v>156</v>
      </c>
      <c r="C104" s="64" t="s">
        <v>157</v>
      </c>
      <c r="D104" s="125" t="s">
        <v>168</v>
      </c>
      <c r="E104" s="65">
        <f>3+2</f>
        <v>5</v>
      </c>
      <c r="F104" s="65">
        <v>1029.0999999999999</v>
      </c>
      <c r="G104" s="65">
        <f t="shared" si="16"/>
        <v>5145.5</v>
      </c>
      <c r="H104" s="126">
        <f t="shared" si="12"/>
        <v>1286.68</v>
      </c>
      <c r="I104" s="126">
        <f t="shared" si="18"/>
        <v>6433.41</v>
      </c>
      <c r="J104" s="70">
        <f t="shared" si="19"/>
        <v>5145.5</v>
      </c>
    </row>
    <row r="105" spans="1:10" ht="27" customHeight="1" x14ac:dyDescent="0.2">
      <c r="A105" s="63" t="s">
        <v>1038</v>
      </c>
      <c r="B105" s="124" t="s">
        <v>158</v>
      </c>
      <c r="C105" s="64" t="s">
        <v>159</v>
      </c>
      <c r="D105" s="125" t="s">
        <v>168</v>
      </c>
      <c r="E105" s="65">
        <f>3+4</f>
        <v>7</v>
      </c>
      <c r="F105" s="65">
        <v>1166.6300000000001</v>
      </c>
      <c r="G105" s="65">
        <f t="shared" si="16"/>
        <v>8166.41</v>
      </c>
      <c r="H105" s="126">
        <f t="shared" si="12"/>
        <v>1458.63</v>
      </c>
      <c r="I105" s="126">
        <f t="shared" si="18"/>
        <v>10210.459999999999</v>
      </c>
      <c r="J105" s="70">
        <f t="shared" si="19"/>
        <v>8166.41</v>
      </c>
    </row>
    <row r="106" spans="1:10" ht="28.5" customHeight="1" x14ac:dyDescent="0.2">
      <c r="A106" s="63" t="s">
        <v>1039</v>
      </c>
      <c r="B106" s="124" t="s">
        <v>160</v>
      </c>
      <c r="C106" s="64" t="s">
        <v>161</v>
      </c>
      <c r="D106" s="125" t="s">
        <v>168</v>
      </c>
      <c r="E106" s="65">
        <f>3+4</f>
        <v>7</v>
      </c>
      <c r="F106" s="65">
        <v>1304.1600000000001</v>
      </c>
      <c r="G106" s="65">
        <f t="shared" si="16"/>
        <v>9129.1200000000008</v>
      </c>
      <c r="H106" s="126">
        <f t="shared" si="12"/>
        <v>1630.59</v>
      </c>
      <c r="I106" s="126">
        <f t="shared" si="18"/>
        <v>11414.13</v>
      </c>
      <c r="J106" s="70">
        <f t="shared" si="19"/>
        <v>9129.1200000000008</v>
      </c>
    </row>
    <row r="107" spans="1:10" x14ac:dyDescent="0.2">
      <c r="A107" s="127" t="s">
        <v>1040</v>
      </c>
      <c r="B107" s="128"/>
      <c r="C107" s="66" t="s">
        <v>163</v>
      </c>
      <c r="D107" s="66"/>
      <c r="E107" s="141"/>
      <c r="F107" s="143">
        <f>F108+F109</f>
        <v>3456.6</v>
      </c>
      <c r="G107" s="143">
        <f>G108+G109</f>
        <v>39815.759999999995</v>
      </c>
      <c r="H107" s="129">
        <f>H108+H109</f>
        <v>4321.7700000000004</v>
      </c>
      <c r="I107" s="129">
        <f>SUM(I108:I109)</f>
        <v>49781.64</v>
      </c>
      <c r="J107" s="75">
        <f>SUM(J108:J109)</f>
        <v>39815.759999999995</v>
      </c>
    </row>
    <row r="108" spans="1:10" ht="19.5" customHeight="1" x14ac:dyDescent="0.2">
      <c r="A108" s="63" t="s">
        <v>145</v>
      </c>
      <c r="B108" s="124" t="s">
        <v>866</v>
      </c>
      <c r="C108" s="64" t="s">
        <v>165</v>
      </c>
      <c r="D108" s="125" t="s">
        <v>4</v>
      </c>
      <c r="E108" s="65">
        <f>15.4+13.6</f>
        <v>29</v>
      </c>
      <c r="F108" s="65">
        <v>709.98</v>
      </c>
      <c r="G108" s="65">
        <f t="shared" si="16"/>
        <v>20589.419999999998</v>
      </c>
      <c r="H108" s="126">
        <f t="shared" si="12"/>
        <v>887.68</v>
      </c>
      <c r="I108" s="126">
        <f t="shared" si="18"/>
        <v>25742.95</v>
      </c>
      <c r="J108" s="70">
        <f>TRUNC(F108 * E108, 2)</f>
        <v>20589.419999999998</v>
      </c>
    </row>
    <row r="109" spans="1:10" ht="69" customHeight="1" x14ac:dyDescent="0.2">
      <c r="A109" s="63" t="s">
        <v>1041</v>
      </c>
      <c r="B109" s="130" t="s">
        <v>166</v>
      </c>
      <c r="C109" s="64" t="s">
        <v>167</v>
      </c>
      <c r="D109" s="125" t="s">
        <v>168</v>
      </c>
      <c r="E109" s="65">
        <f>4+3</f>
        <v>7</v>
      </c>
      <c r="F109" s="65">
        <v>2746.62</v>
      </c>
      <c r="G109" s="65">
        <f t="shared" si="16"/>
        <v>19226.34</v>
      </c>
      <c r="H109" s="126">
        <f t="shared" si="12"/>
        <v>3434.09</v>
      </c>
      <c r="I109" s="126">
        <f t="shared" si="18"/>
        <v>24038.69</v>
      </c>
      <c r="J109" s="70">
        <f>TRUNC(F109 * E109, 2)</f>
        <v>19226.34</v>
      </c>
    </row>
    <row r="110" spans="1:10" x14ac:dyDescent="0.2">
      <c r="A110" s="127" t="s">
        <v>162</v>
      </c>
      <c r="B110" s="131"/>
      <c r="C110" s="66" t="s">
        <v>169</v>
      </c>
      <c r="D110" s="66"/>
      <c r="E110" s="141"/>
      <c r="F110" s="143">
        <f>F111+F112+F113</f>
        <v>937.02</v>
      </c>
      <c r="G110" s="143">
        <f>G111+G112+G113</f>
        <v>31915.32</v>
      </c>
      <c r="H110" s="129">
        <f>H111+H112+H113</f>
        <v>1171.53</v>
      </c>
      <c r="I110" s="129">
        <f>SUM(I111:I113)</f>
        <v>39903.71</v>
      </c>
      <c r="J110" s="75">
        <f>SUM(J111:J113)</f>
        <v>31915.32</v>
      </c>
    </row>
    <row r="111" spans="1:10" ht="66.75" customHeight="1" x14ac:dyDescent="0.2">
      <c r="A111" s="63" t="s">
        <v>164</v>
      </c>
      <c r="B111" s="130" t="s">
        <v>171</v>
      </c>
      <c r="C111" s="64" t="s">
        <v>172</v>
      </c>
      <c r="D111" s="125" t="s">
        <v>4</v>
      </c>
      <c r="E111" s="65">
        <f>9.25+22.35</f>
        <v>31.6</v>
      </c>
      <c r="F111" s="65">
        <v>338.19</v>
      </c>
      <c r="G111" s="65">
        <f t="shared" si="16"/>
        <v>10686.8</v>
      </c>
      <c r="H111" s="126">
        <f t="shared" si="12"/>
        <v>422.83</v>
      </c>
      <c r="I111" s="126">
        <f t="shared" si="18"/>
        <v>13361.7</v>
      </c>
      <c r="J111" s="70">
        <f>TRUNC(F111 * E111, 2)</f>
        <v>10686.8</v>
      </c>
    </row>
    <row r="112" spans="1:10" ht="56.25" customHeight="1" x14ac:dyDescent="0.2">
      <c r="A112" s="63" t="s">
        <v>1042</v>
      </c>
      <c r="B112" s="130" t="s">
        <v>173</v>
      </c>
      <c r="C112" s="64" t="s">
        <v>174</v>
      </c>
      <c r="D112" s="125" t="s">
        <v>4</v>
      </c>
      <c r="E112" s="65">
        <f>12.35+23.1</f>
        <v>35.450000000000003</v>
      </c>
      <c r="F112" s="65">
        <v>258.39999999999998</v>
      </c>
      <c r="G112" s="65">
        <f t="shared" si="16"/>
        <v>9160.2800000000007</v>
      </c>
      <c r="H112" s="126">
        <f t="shared" si="12"/>
        <v>323.07</v>
      </c>
      <c r="I112" s="126">
        <f t="shared" si="18"/>
        <v>11453.09</v>
      </c>
      <c r="J112" s="70">
        <f>TRUNC(F112 * E112, 2)</f>
        <v>9160.2800000000007</v>
      </c>
    </row>
    <row r="113" spans="1:10" ht="27.75" customHeight="1" x14ac:dyDescent="0.2">
      <c r="A113" s="63" t="s">
        <v>1043</v>
      </c>
      <c r="B113" s="130" t="s">
        <v>175</v>
      </c>
      <c r="C113" s="64" t="s">
        <v>176</v>
      </c>
      <c r="D113" s="125" t="s">
        <v>4</v>
      </c>
      <c r="E113" s="65">
        <f>12.35+23.1</f>
        <v>35.450000000000003</v>
      </c>
      <c r="F113" s="65">
        <v>340.43</v>
      </c>
      <c r="G113" s="65">
        <f t="shared" si="16"/>
        <v>12068.24</v>
      </c>
      <c r="H113" s="126">
        <f t="shared" si="12"/>
        <v>425.63</v>
      </c>
      <c r="I113" s="126">
        <f t="shared" si="18"/>
        <v>15088.92</v>
      </c>
      <c r="J113" s="70">
        <f>TRUNC(F113 * E113, 2)</f>
        <v>12068.24</v>
      </c>
    </row>
    <row r="114" spans="1:10" x14ac:dyDescent="0.2">
      <c r="A114" s="127" t="s">
        <v>1044</v>
      </c>
      <c r="B114" s="128"/>
      <c r="C114" s="66" t="s">
        <v>177</v>
      </c>
      <c r="D114" s="66"/>
      <c r="E114" s="141"/>
      <c r="F114" s="143">
        <f>F115+F116</f>
        <v>1651.6</v>
      </c>
      <c r="G114" s="143">
        <f>G115+G116</f>
        <v>12224.22</v>
      </c>
      <c r="H114" s="129">
        <f>H115+H116</f>
        <v>2064.98</v>
      </c>
      <c r="I114" s="129">
        <f>SUM(I115:I116)</f>
        <v>15283.93</v>
      </c>
      <c r="J114" s="75">
        <f>SUM(J115:J116)</f>
        <v>12224.22</v>
      </c>
    </row>
    <row r="115" spans="1:10" ht="29.25" customHeight="1" x14ac:dyDescent="0.2">
      <c r="A115" s="63" t="s">
        <v>170</v>
      </c>
      <c r="B115" s="124" t="s">
        <v>179</v>
      </c>
      <c r="C115" s="64" t="s">
        <v>180</v>
      </c>
      <c r="D115" s="125" t="s">
        <v>168</v>
      </c>
      <c r="E115" s="65">
        <f>6+3</f>
        <v>9</v>
      </c>
      <c r="F115" s="65">
        <v>771.54</v>
      </c>
      <c r="G115" s="65">
        <f t="shared" si="16"/>
        <v>6943.86</v>
      </c>
      <c r="H115" s="126">
        <f t="shared" si="12"/>
        <v>964.65</v>
      </c>
      <c r="I115" s="126">
        <f t="shared" si="18"/>
        <v>8681.9</v>
      </c>
      <c r="J115" s="70">
        <f>TRUNC(F115* E115, 2)</f>
        <v>6943.86</v>
      </c>
    </row>
    <row r="116" spans="1:10" ht="42.75" customHeight="1" x14ac:dyDescent="0.2">
      <c r="A116" s="63" t="s">
        <v>1045</v>
      </c>
      <c r="B116" s="124" t="s">
        <v>181</v>
      </c>
      <c r="C116" s="64" t="s">
        <v>182</v>
      </c>
      <c r="D116" s="125" t="s">
        <v>168</v>
      </c>
      <c r="E116" s="65">
        <f>4+2</f>
        <v>6</v>
      </c>
      <c r="F116" s="65">
        <v>880.06</v>
      </c>
      <c r="G116" s="65">
        <f t="shared" si="16"/>
        <v>5280.36</v>
      </c>
      <c r="H116" s="126">
        <f t="shared" si="12"/>
        <v>1100.33</v>
      </c>
      <c r="I116" s="126">
        <f t="shared" si="18"/>
        <v>6602.03</v>
      </c>
      <c r="J116" s="70">
        <f>TRUNC(F116 * E116, 2)</f>
        <v>5280.36</v>
      </c>
    </row>
    <row r="117" spans="1:10" x14ac:dyDescent="0.2">
      <c r="A117" s="127" t="s">
        <v>1046</v>
      </c>
      <c r="B117" s="128"/>
      <c r="C117" s="66" t="s">
        <v>183</v>
      </c>
      <c r="D117" s="66"/>
      <c r="E117" s="141"/>
      <c r="F117" s="143">
        <f>F118+F119</f>
        <v>1555.8600000000001</v>
      </c>
      <c r="G117" s="143">
        <f>G118+G119</f>
        <v>20664.28</v>
      </c>
      <c r="H117" s="129">
        <f>H118+H119</f>
        <v>1945.29</v>
      </c>
      <c r="I117" s="129">
        <f>SUM(I118:I119)</f>
        <v>25836.54</v>
      </c>
      <c r="J117" s="75">
        <f>SUM(J118:J119)</f>
        <v>20664.28</v>
      </c>
    </row>
    <row r="118" spans="1:10" ht="18.75" customHeight="1" x14ac:dyDescent="0.2">
      <c r="A118" s="63" t="s">
        <v>178</v>
      </c>
      <c r="B118" s="124" t="s">
        <v>184</v>
      </c>
      <c r="C118" s="64" t="s">
        <v>185</v>
      </c>
      <c r="D118" s="125" t="s">
        <v>168</v>
      </c>
      <c r="E118" s="65">
        <f>3+4</f>
        <v>7</v>
      </c>
      <c r="F118" s="65">
        <v>800</v>
      </c>
      <c r="G118" s="65">
        <f t="shared" si="16"/>
        <v>5600</v>
      </c>
      <c r="H118" s="126">
        <f t="shared" si="12"/>
        <v>1000.24</v>
      </c>
      <c r="I118" s="126">
        <f t="shared" si="18"/>
        <v>7001.68</v>
      </c>
      <c r="J118" s="70">
        <f>TRUNC(F118* E118, 2)</f>
        <v>5600</v>
      </c>
    </row>
    <row r="119" spans="1:10" ht="30" customHeight="1" x14ac:dyDescent="0.2">
      <c r="A119" s="63" t="s">
        <v>1047</v>
      </c>
      <c r="B119" s="124" t="s">
        <v>186</v>
      </c>
      <c r="C119" s="64" t="s">
        <v>187</v>
      </c>
      <c r="D119" s="125" t="s">
        <v>4</v>
      </c>
      <c r="E119" s="65">
        <f>12.25+7.68</f>
        <v>19.93</v>
      </c>
      <c r="F119" s="65">
        <v>755.86</v>
      </c>
      <c r="G119" s="65">
        <f t="shared" si="16"/>
        <v>15064.28</v>
      </c>
      <c r="H119" s="126">
        <f t="shared" si="12"/>
        <v>945.05</v>
      </c>
      <c r="I119" s="126">
        <f t="shared" si="18"/>
        <v>18834.86</v>
      </c>
      <c r="J119" s="70">
        <f>TRUNC(F119* E119, 2)</f>
        <v>15064.28</v>
      </c>
    </row>
    <row r="120" spans="1:10" x14ac:dyDescent="0.2">
      <c r="A120" s="127" t="s">
        <v>188</v>
      </c>
      <c r="B120" s="128"/>
      <c r="C120" s="66" t="s">
        <v>189</v>
      </c>
      <c r="D120" s="66"/>
      <c r="E120" s="141"/>
      <c r="F120" s="143">
        <f>F121+F129+F132</f>
        <v>2583.44</v>
      </c>
      <c r="G120" s="143">
        <f>G121+G129+G132</f>
        <v>58764.22</v>
      </c>
      <c r="H120" s="129">
        <f>H121+H129+H132</f>
        <v>3230.0200000000004</v>
      </c>
      <c r="I120" s="129">
        <f>I121+I129+I132</f>
        <v>73472.849999999991</v>
      </c>
      <c r="J120" s="75">
        <f>J121+J129+J132</f>
        <v>58764.22</v>
      </c>
    </row>
    <row r="121" spans="1:10" ht="25.5" x14ac:dyDescent="0.2">
      <c r="A121" s="127" t="s">
        <v>190</v>
      </c>
      <c r="B121" s="128"/>
      <c r="C121" s="66" t="s">
        <v>191</v>
      </c>
      <c r="D121" s="66"/>
      <c r="E121" s="141"/>
      <c r="F121" s="143">
        <f>SUM(F122:F128)</f>
        <v>2124.42</v>
      </c>
      <c r="G121" s="143">
        <f>G122+G123+G124+G125+G126+G127+G128</f>
        <v>44661.23</v>
      </c>
      <c r="H121" s="129">
        <f>SUM(H122:H128)</f>
        <v>2656.13</v>
      </c>
      <c r="I121" s="129">
        <f>SUM(I122:I128)</f>
        <v>55839.899999999994</v>
      </c>
      <c r="J121" s="75">
        <f>SUM(J122:J128)</f>
        <v>44661.23</v>
      </c>
    </row>
    <row r="122" spans="1:10" ht="28.5" customHeight="1" x14ac:dyDescent="0.2">
      <c r="A122" s="63" t="s">
        <v>192</v>
      </c>
      <c r="B122" s="124" t="s">
        <v>867</v>
      </c>
      <c r="C122" s="64" t="s">
        <v>193</v>
      </c>
      <c r="D122" s="125" t="s">
        <v>168</v>
      </c>
      <c r="E122" s="65">
        <f>84+64</f>
        <v>148</v>
      </c>
      <c r="F122" s="65">
        <v>156.16999999999999</v>
      </c>
      <c r="G122" s="65">
        <f t="shared" ref="G122:G141" si="20">TRUNC(E122*F122,2)</f>
        <v>23113.16</v>
      </c>
      <c r="H122" s="126">
        <f t="shared" si="12"/>
        <v>195.25</v>
      </c>
      <c r="I122" s="126">
        <f t="shared" ref="I122:I141" si="21">TRUNC(G122*(1+I$8),2)</f>
        <v>28898.38</v>
      </c>
      <c r="J122" s="70">
        <f>TRUNC(F122 * E122, 2)</f>
        <v>23113.16</v>
      </c>
    </row>
    <row r="123" spans="1:10" ht="28.5" customHeight="1" x14ac:dyDescent="0.2">
      <c r="A123" s="63" t="s">
        <v>194</v>
      </c>
      <c r="B123" s="124" t="s">
        <v>868</v>
      </c>
      <c r="C123" s="64" t="s">
        <v>195</v>
      </c>
      <c r="D123" s="125" t="s">
        <v>168</v>
      </c>
      <c r="E123" s="65">
        <f>7+12</f>
        <v>19</v>
      </c>
      <c r="F123" s="65">
        <v>177.03</v>
      </c>
      <c r="G123" s="65">
        <f t="shared" si="20"/>
        <v>3363.57</v>
      </c>
      <c r="H123" s="126">
        <f t="shared" si="12"/>
        <v>221.34</v>
      </c>
      <c r="I123" s="126">
        <f t="shared" si="21"/>
        <v>4205.47</v>
      </c>
      <c r="J123" s="70">
        <f t="shared" ref="J123:J128" si="22">TRUNC(F123 * E123, 2)</f>
        <v>3363.57</v>
      </c>
    </row>
    <row r="124" spans="1:10" ht="16.5" customHeight="1" x14ac:dyDescent="0.2">
      <c r="A124" s="63" t="s">
        <v>196</v>
      </c>
      <c r="B124" s="124" t="s">
        <v>869</v>
      </c>
      <c r="C124" s="64" t="s">
        <v>197</v>
      </c>
      <c r="D124" s="125" t="s">
        <v>168</v>
      </c>
      <c r="E124" s="65">
        <f>16+24</f>
        <v>40</v>
      </c>
      <c r="F124" s="65">
        <v>53.33</v>
      </c>
      <c r="G124" s="65">
        <f t="shared" si="20"/>
        <v>2133.1999999999998</v>
      </c>
      <c r="H124" s="126">
        <f t="shared" si="12"/>
        <v>66.67</v>
      </c>
      <c r="I124" s="126">
        <f t="shared" si="21"/>
        <v>2667.13</v>
      </c>
      <c r="J124" s="70">
        <f t="shared" si="22"/>
        <v>2133.1999999999998</v>
      </c>
    </row>
    <row r="125" spans="1:10" ht="16.5" customHeight="1" x14ac:dyDescent="0.2">
      <c r="A125" s="63" t="s">
        <v>198</v>
      </c>
      <c r="B125" s="124" t="s">
        <v>870</v>
      </c>
      <c r="C125" s="64" t="s">
        <v>199</v>
      </c>
      <c r="D125" s="125" t="s">
        <v>168</v>
      </c>
      <c r="E125" s="65">
        <f>6+6</f>
        <v>12</v>
      </c>
      <c r="F125" s="65">
        <v>27.02</v>
      </c>
      <c r="G125" s="65">
        <f t="shared" si="20"/>
        <v>324.24</v>
      </c>
      <c r="H125" s="126">
        <f t="shared" si="12"/>
        <v>33.78</v>
      </c>
      <c r="I125" s="126">
        <f t="shared" si="21"/>
        <v>405.39</v>
      </c>
      <c r="J125" s="70">
        <f t="shared" si="22"/>
        <v>324.24</v>
      </c>
    </row>
    <row r="126" spans="1:10" ht="16.5" customHeight="1" x14ac:dyDescent="0.2">
      <c r="A126" s="63" t="s">
        <v>200</v>
      </c>
      <c r="B126" s="124" t="s">
        <v>1061</v>
      </c>
      <c r="C126" s="64" t="s">
        <v>201</v>
      </c>
      <c r="D126" s="125" t="s">
        <v>168</v>
      </c>
      <c r="E126" s="65">
        <f>4+6</f>
        <v>10</v>
      </c>
      <c r="F126" s="65">
        <v>329.23</v>
      </c>
      <c r="G126" s="65">
        <f t="shared" si="20"/>
        <v>3292.3</v>
      </c>
      <c r="H126" s="126">
        <f t="shared" ref="H126:H187" si="23">TRUNC(F126*(1+I$8),2)</f>
        <v>411.63</v>
      </c>
      <c r="I126" s="126">
        <f t="shared" si="21"/>
        <v>4116.3599999999997</v>
      </c>
      <c r="J126" s="70">
        <f t="shared" si="22"/>
        <v>3292.3</v>
      </c>
    </row>
    <row r="127" spans="1:10" ht="42.75" customHeight="1" x14ac:dyDescent="0.2">
      <c r="A127" s="63" t="s">
        <v>202</v>
      </c>
      <c r="B127" s="124" t="s">
        <v>871</v>
      </c>
      <c r="C127" s="64" t="s">
        <v>203</v>
      </c>
      <c r="D127" s="125" t="s">
        <v>168</v>
      </c>
      <c r="E127" s="65">
        <f>6+3</f>
        <v>9</v>
      </c>
      <c r="F127" s="65">
        <v>440.64</v>
      </c>
      <c r="G127" s="65">
        <f t="shared" si="20"/>
        <v>3965.76</v>
      </c>
      <c r="H127" s="126">
        <f t="shared" si="23"/>
        <v>550.92999999999995</v>
      </c>
      <c r="I127" s="126">
        <f t="shared" si="21"/>
        <v>4958.38</v>
      </c>
      <c r="J127" s="70">
        <f t="shared" si="22"/>
        <v>3965.76</v>
      </c>
    </row>
    <row r="128" spans="1:10" ht="18" customHeight="1" x14ac:dyDescent="0.2">
      <c r="A128" s="63" t="s">
        <v>204</v>
      </c>
      <c r="B128" s="124" t="s">
        <v>872</v>
      </c>
      <c r="C128" s="64" t="s">
        <v>205</v>
      </c>
      <c r="D128" s="125" t="s">
        <v>168</v>
      </c>
      <c r="E128" s="65">
        <f>6+3</f>
        <v>9</v>
      </c>
      <c r="F128" s="65">
        <v>941</v>
      </c>
      <c r="G128" s="65">
        <f t="shared" si="20"/>
        <v>8469</v>
      </c>
      <c r="H128" s="126">
        <f t="shared" si="23"/>
        <v>1176.53</v>
      </c>
      <c r="I128" s="126">
        <f t="shared" si="21"/>
        <v>10588.79</v>
      </c>
      <c r="J128" s="70">
        <f t="shared" si="22"/>
        <v>8469</v>
      </c>
    </row>
    <row r="129" spans="1:10" x14ac:dyDescent="0.2">
      <c r="A129" s="127" t="s">
        <v>206</v>
      </c>
      <c r="B129" s="128"/>
      <c r="C129" s="66" t="s">
        <v>207</v>
      </c>
      <c r="D129" s="66"/>
      <c r="E129" s="141"/>
      <c r="F129" s="143">
        <f>F130+F131</f>
        <v>333.2</v>
      </c>
      <c r="G129" s="143">
        <f>G130+G131</f>
        <v>3196.6899999999996</v>
      </c>
      <c r="H129" s="129">
        <f>H130+H131</f>
        <v>416.59000000000003</v>
      </c>
      <c r="I129" s="129">
        <f>SUM(I130:I131)</f>
        <v>3996.8099999999995</v>
      </c>
      <c r="J129" s="75">
        <f>SUM(J130:J131)</f>
        <v>3196.6899999999996</v>
      </c>
    </row>
    <row r="130" spans="1:10" ht="28.5" customHeight="1" x14ac:dyDescent="0.2">
      <c r="A130" s="63" t="s">
        <v>208</v>
      </c>
      <c r="B130" s="124" t="s">
        <v>868</v>
      </c>
      <c r="C130" s="64" t="s">
        <v>195</v>
      </c>
      <c r="D130" s="125" t="s">
        <v>168</v>
      </c>
      <c r="E130" s="65">
        <f>7+4</f>
        <v>11</v>
      </c>
      <c r="F130" s="65">
        <v>177.03</v>
      </c>
      <c r="G130" s="65">
        <f t="shared" si="20"/>
        <v>1947.33</v>
      </c>
      <c r="H130" s="126">
        <f t="shared" si="23"/>
        <v>221.34</v>
      </c>
      <c r="I130" s="126">
        <f t="shared" si="21"/>
        <v>2434.7399999999998</v>
      </c>
      <c r="J130" s="70">
        <f>TRUNC(F130 * E130, 2)</f>
        <v>1947.33</v>
      </c>
    </row>
    <row r="131" spans="1:10" ht="30" customHeight="1" x14ac:dyDescent="0.2">
      <c r="A131" s="63" t="s">
        <v>209</v>
      </c>
      <c r="B131" s="124" t="s">
        <v>867</v>
      </c>
      <c r="C131" s="64" t="s">
        <v>193</v>
      </c>
      <c r="D131" s="125" t="s">
        <v>168</v>
      </c>
      <c r="E131" s="65">
        <f>4+4</f>
        <v>8</v>
      </c>
      <c r="F131" s="65">
        <v>156.16999999999999</v>
      </c>
      <c r="G131" s="65">
        <f t="shared" si="20"/>
        <v>1249.3599999999999</v>
      </c>
      <c r="H131" s="126">
        <f t="shared" si="23"/>
        <v>195.25</v>
      </c>
      <c r="I131" s="126">
        <f t="shared" si="21"/>
        <v>1562.07</v>
      </c>
      <c r="J131" s="70">
        <f>TRUNC(F131 * E131, 2)</f>
        <v>1249.3599999999999</v>
      </c>
    </row>
    <row r="132" spans="1:10" x14ac:dyDescent="0.2">
      <c r="A132" s="127" t="s">
        <v>210</v>
      </c>
      <c r="B132" s="128"/>
      <c r="C132" s="66" t="s">
        <v>211</v>
      </c>
      <c r="D132" s="66"/>
      <c r="E132" s="141"/>
      <c r="F132" s="143">
        <f>F133+F134</f>
        <v>125.82</v>
      </c>
      <c r="G132" s="143">
        <f>G133+G134</f>
        <v>10906.3</v>
      </c>
      <c r="H132" s="129">
        <f>H133+H134</f>
        <v>157.30000000000001</v>
      </c>
      <c r="I132" s="129">
        <f>SUM(I133:I134)</f>
        <v>13636.14</v>
      </c>
      <c r="J132" s="75">
        <f>SUM(J133:J134)</f>
        <v>10906.3</v>
      </c>
    </row>
    <row r="133" spans="1:10" ht="24" x14ac:dyDescent="0.2">
      <c r="A133" s="63" t="s">
        <v>212</v>
      </c>
      <c r="B133" s="124" t="s">
        <v>213</v>
      </c>
      <c r="C133" s="64" t="s">
        <v>214</v>
      </c>
      <c r="D133" s="125" t="s">
        <v>168</v>
      </c>
      <c r="E133" s="65">
        <f>84+64</f>
        <v>148</v>
      </c>
      <c r="F133" s="65">
        <v>36.11</v>
      </c>
      <c r="G133" s="65">
        <f t="shared" si="20"/>
        <v>5344.28</v>
      </c>
      <c r="H133" s="126">
        <f t="shared" si="23"/>
        <v>45.14</v>
      </c>
      <c r="I133" s="126">
        <f t="shared" si="21"/>
        <v>6681.95</v>
      </c>
      <c r="J133" s="70">
        <f>TRUNC(F133* E133, 2)</f>
        <v>5344.28</v>
      </c>
    </row>
    <row r="134" spans="1:10" ht="24" x14ac:dyDescent="0.2">
      <c r="A134" s="63" t="s">
        <v>215</v>
      </c>
      <c r="B134" s="124" t="s">
        <v>216</v>
      </c>
      <c r="C134" s="64" t="s">
        <v>217</v>
      </c>
      <c r="D134" s="125" t="s">
        <v>168</v>
      </c>
      <c r="E134" s="65">
        <f>38+24</f>
        <v>62</v>
      </c>
      <c r="F134" s="65">
        <v>89.71</v>
      </c>
      <c r="G134" s="65">
        <f t="shared" si="20"/>
        <v>5562.02</v>
      </c>
      <c r="H134" s="126">
        <f t="shared" si="23"/>
        <v>112.16</v>
      </c>
      <c r="I134" s="126">
        <f t="shared" si="21"/>
        <v>6954.19</v>
      </c>
      <c r="J134" s="70">
        <f>TRUNC(F134 * E134, 2)</f>
        <v>5562.02</v>
      </c>
    </row>
    <row r="135" spans="1:10" x14ac:dyDescent="0.2">
      <c r="A135" s="127" t="s">
        <v>218</v>
      </c>
      <c r="B135" s="128"/>
      <c r="C135" s="66" t="s">
        <v>219</v>
      </c>
      <c r="D135" s="66"/>
      <c r="E135" s="141"/>
      <c r="F135" s="143">
        <f>F136+F137+F138+F139+F140+F141</f>
        <v>2268.94</v>
      </c>
      <c r="G135" s="143">
        <f>G136+G137+G138+G139+G140+G141</f>
        <v>88479.95</v>
      </c>
      <c r="H135" s="129">
        <f>SUM(H136:H141)</f>
        <v>2836.83</v>
      </c>
      <c r="I135" s="129">
        <f>SUM(I136:I141)</f>
        <v>110626.44999999998</v>
      </c>
      <c r="J135" s="75">
        <f>SUM(J136:J141)</f>
        <v>88479.95</v>
      </c>
    </row>
    <row r="136" spans="1:10" ht="30" customHeight="1" x14ac:dyDescent="0.2">
      <c r="A136" s="63" t="s">
        <v>220</v>
      </c>
      <c r="B136" s="124" t="s">
        <v>873</v>
      </c>
      <c r="C136" s="64" t="s">
        <v>221</v>
      </c>
      <c r="D136" s="125" t="s">
        <v>4</v>
      </c>
      <c r="E136" s="65">
        <f>8.8+15.6</f>
        <v>24.4</v>
      </c>
      <c r="F136" s="65">
        <v>299.29000000000002</v>
      </c>
      <c r="G136" s="65">
        <f t="shared" si="20"/>
        <v>7302.67</v>
      </c>
      <c r="H136" s="126">
        <f t="shared" si="23"/>
        <v>374.2</v>
      </c>
      <c r="I136" s="126">
        <f t="shared" si="21"/>
        <v>9130.52</v>
      </c>
      <c r="J136" s="70">
        <f t="shared" ref="J136:J141" si="24">TRUNC(F136 * E136, 2)</f>
        <v>7302.67</v>
      </c>
    </row>
    <row r="137" spans="1:10" ht="29.25" customHeight="1" x14ac:dyDescent="0.2">
      <c r="A137" s="63" t="s">
        <v>222</v>
      </c>
      <c r="B137" s="124" t="s">
        <v>874</v>
      </c>
      <c r="C137" s="64" t="s">
        <v>223</v>
      </c>
      <c r="D137" s="125" t="s">
        <v>4</v>
      </c>
      <c r="E137" s="65">
        <f>7.7+13.9</f>
        <v>21.6</v>
      </c>
      <c r="F137" s="65">
        <v>298.72000000000003</v>
      </c>
      <c r="G137" s="65">
        <f t="shared" si="20"/>
        <v>6452.35</v>
      </c>
      <c r="H137" s="126">
        <f t="shared" si="23"/>
        <v>373.48</v>
      </c>
      <c r="I137" s="126">
        <f t="shared" si="21"/>
        <v>8067.37</v>
      </c>
      <c r="J137" s="70">
        <f t="shared" si="24"/>
        <v>6452.35</v>
      </c>
    </row>
    <row r="138" spans="1:10" ht="27.75" customHeight="1" x14ac:dyDescent="0.2">
      <c r="A138" s="63" t="s">
        <v>224</v>
      </c>
      <c r="B138" s="124" t="s">
        <v>875</v>
      </c>
      <c r="C138" s="64" t="s">
        <v>225</v>
      </c>
      <c r="D138" s="125" t="s">
        <v>4</v>
      </c>
      <c r="E138" s="65">
        <f>6.15+13.1</f>
        <v>19.25</v>
      </c>
      <c r="F138" s="65">
        <v>197.39</v>
      </c>
      <c r="G138" s="65">
        <f t="shared" si="20"/>
        <v>3799.75</v>
      </c>
      <c r="H138" s="126">
        <f t="shared" si="23"/>
        <v>246.79</v>
      </c>
      <c r="I138" s="126">
        <f t="shared" si="21"/>
        <v>4750.82</v>
      </c>
      <c r="J138" s="70">
        <f t="shared" si="24"/>
        <v>3799.75</v>
      </c>
    </row>
    <row r="139" spans="1:10" ht="27.75" customHeight="1" x14ac:dyDescent="0.2">
      <c r="A139" s="63" t="s">
        <v>226</v>
      </c>
      <c r="B139" s="124" t="s">
        <v>227</v>
      </c>
      <c r="C139" s="64" t="s">
        <v>228</v>
      </c>
      <c r="D139" s="125" t="s">
        <v>4</v>
      </c>
      <c r="E139" s="65">
        <f>96.8+25.55</f>
        <v>122.35</v>
      </c>
      <c r="F139" s="65">
        <v>405.89</v>
      </c>
      <c r="G139" s="65">
        <f t="shared" si="20"/>
        <v>49660.639999999999</v>
      </c>
      <c r="H139" s="126">
        <f t="shared" si="23"/>
        <v>507.48</v>
      </c>
      <c r="I139" s="126">
        <f t="shared" si="21"/>
        <v>62090.69</v>
      </c>
      <c r="J139" s="70">
        <f t="shared" si="24"/>
        <v>49660.639999999999</v>
      </c>
    </row>
    <row r="140" spans="1:10" ht="28.5" customHeight="1" x14ac:dyDescent="0.2">
      <c r="A140" s="63" t="s">
        <v>229</v>
      </c>
      <c r="B140" s="124" t="s">
        <v>876</v>
      </c>
      <c r="C140" s="64" t="s">
        <v>230</v>
      </c>
      <c r="D140" s="125" t="s">
        <v>4</v>
      </c>
      <c r="E140" s="65">
        <f>20.25+9.35</f>
        <v>29.6</v>
      </c>
      <c r="F140" s="65">
        <v>625.86</v>
      </c>
      <c r="G140" s="65">
        <f t="shared" si="20"/>
        <v>18525.45</v>
      </c>
      <c r="H140" s="126">
        <f t="shared" si="23"/>
        <v>782.51</v>
      </c>
      <c r="I140" s="126">
        <f t="shared" si="21"/>
        <v>23162.37</v>
      </c>
      <c r="J140" s="70">
        <f t="shared" si="24"/>
        <v>18525.45</v>
      </c>
    </row>
    <row r="141" spans="1:10" ht="25.5" x14ac:dyDescent="0.2">
      <c r="A141" s="63" t="s">
        <v>231</v>
      </c>
      <c r="B141" s="124" t="s">
        <v>232</v>
      </c>
      <c r="C141" s="64" t="s">
        <v>233</v>
      </c>
      <c r="D141" s="125" t="s">
        <v>4</v>
      </c>
      <c r="E141" s="65">
        <f>3.1+3.1</f>
        <v>6.2</v>
      </c>
      <c r="F141" s="65">
        <v>441.79</v>
      </c>
      <c r="G141" s="65">
        <f t="shared" si="20"/>
        <v>2739.09</v>
      </c>
      <c r="H141" s="126">
        <f t="shared" si="23"/>
        <v>552.37</v>
      </c>
      <c r="I141" s="126">
        <f t="shared" si="21"/>
        <v>3424.68</v>
      </c>
      <c r="J141" s="70">
        <f t="shared" si="24"/>
        <v>2739.09</v>
      </c>
    </row>
    <row r="142" spans="1:10" x14ac:dyDescent="0.2">
      <c r="A142" s="127" t="s">
        <v>234</v>
      </c>
      <c r="B142" s="128"/>
      <c r="C142" s="66" t="s">
        <v>235</v>
      </c>
      <c r="D142" s="66"/>
      <c r="E142" s="141"/>
      <c r="F142" s="143">
        <f>F143+F146+F149+F151+F154+F158</f>
        <v>869.89</v>
      </c>
      <c r="G142" s="143">
        <f>G143+G146+G149+G151+G154+G158</f>
        <v>126429.76000000001</v>
      </c>
      <c r="H142" s="129">
        <f>H143+H146+H149+H151+H154+H158</f>
        <v>1087.56</v>
      </c>
      <c r="I142" s="129">
        <f>I143+I146+I149+I151+I154+I158</f>
        <v>158075.07</v>
      </c>
      <c r="J142" s="75">
        <f>J143+J146+J149+J151+J154+J158</f>
        <v>126429.76000000001</v>
      </c>
    </row>
    <row r="143" spans="1:10" x14ac:dyDescent="0.2">
      <c r="A143" s="127" t="s">
        <v>236</v>
      </c>
      <c r="B143" s="128"/>
      <c r="C143" s="66" t="s">
        <v>237</v>
      </c>
      <c r="D143" s="66"/>
      <c r="E143" s="141"/>
      <c r="F143" s="143">
        <f>F144+F145</f>
        <v>91.22</v>
      </c>
      <c r="G143" s="143">
        <f>G144+G145</f>
        <v>18708.509999999998</v>
      </c>
      <c r="H143" s="129">
        <f>H144+H145</f>
        <v>114.03999999999999</v>
      </c>
      <c r="I143" s="129">
        <f>SUM(I144:I145)</f>
        <v>23391.24</v>
      </c>
      <c r="J143" s="75">
        <f>SUM(J144:J145)</f>
        <v>18708.509999999998</v>
      </c>
    </row>
    <row r="144" spans="1:10" ht="25.5" x14ac:dyDescent="0.2">
      <c r="A144" s="63" t="s">
        <v>238</v>
      </c>
      <c r="B144" s="124" t="s">
        <v>239</v>
      </c>
      <c r="C144" s="64" t="s">
        <v>240</v>
      </c>
      <c r="D144" s="125" t="s">
        <v>4</v>
      </c>
      <c r="E144" s="65">
        <f>28.55+81.18</f>
        <v>109.73</v>
      </c>
      <c r="F144" s="65">
        <v>13.53</v>
      </c>
      <c r="G144" s="65">
        <f t="shared" ref="G144:G172" si="25">TRUNC(E144*F144,2)</f>
        <v>1484.64</v>
      </c>
      <c r="H144" s="126">
        <f t="shared" si="23"/>
        <v>16.91</v>
      </c>
      <c r="I144" s="126">
        <f t="shared" ref="I144:I172" si="26">TRUNC(G144*(1+I$8),2)</f>
        <v>1856.24</v>
      </c>
      <c r="J144" s="70">
        <f>TRUNC(F144 * E144, 2)</f>
        <v>1484.64</v>
      </c>
    </row>
    <row r="145" spans="1:10" ht="25.5" x14ac:dyDescent="0.2">
      <c r="A145" s="63" t="s">
        <v>241</v>
      </c>
      <c r="B145" s="124" t="s">
        <v>242</v>
      </c>
      <c r="C145" s="64" t="s">
        <v>243</v>
      </c>
      <c r="D145" s="125" t="s">
        <v>4</v>
      </c>
      <c r="E145" s="65">
        <f>65.8+155.9</f>
        <v>221.7</v>
      </c>
      <c r="F145" s="65">
        <v>77.69</v>
      </c>
      <c r="G145" s="65">
        <f t="shared" si="25"/>
        <v>17223.87</v>
      </c>
      <c r="H145" s="126">
        <f t="shared" si="23"/>
        <v>97.13</v>
      </c>
      <c r="I145" s="126">
        <f t="shared" si="26"/>
        <v>21535</v>
      </c>
      <c r="J145" s="70">
        <f>TRUNC(F145 * E145, 2)</f>
        <v>17223.87</v>
      </c>
    </row>
    <row r="146" spans="1:10" x14ac:dyDescent="0.2">
      <c r="A146" s="127" t="s">
        <v>244</v>
      </c>
      <c r="B146" s="128"/>
      <c r="C146" s="66" t="s">
        <v>245</v>
      </c>
      <c r="D146" s="66"/>
      <c r="E146" s="141"/>
      <c r="F146" s="143">
        <f>F147+F148</f>
        <v>25.57</v>
      </c>
      <c r="G146" s="143">
        <f>G147+G148</f>
        <v>2488.0100000000002</v>
      </c>
      <c r="H146" s="129">
        <f>H147+H148</f>
        <v>31.96</v>
      </c>
      <c r="I146" s="129">
        <f>SUM(I147:I148)</f>
        <v>3110.75</v>
      </c>
      <c r="J146" s="75">
        <f>SUM(J147:J148)</f>
        <v>2488.0100000000002</v>
      </c>
    </row>
    <row r="147" spans="1:10" ht="38.25" x14ac:dyDescent="0.2">
      <c r="A147" s="63" t="s">
        <v>246</v>
      </c>
      <c r="B147" s="124" t="s">
        <v>247</v>
      </c>
      <c r="C147" s="64" t="s">
        <v>248</v>
      </c>
      <c r="D147" s="125" t="s">
        <v>4</v>
      </c>
      <c r="E147" s="65">
        <f>28.55+62.35</f>
        <v>90.9</v>
      </c>
      <c r="F147" s="65">
        <v>14.8</v>
      </c>
      <c r="G147" s="65">
        <f t="shared" si="25"/>
        <v>1345.32</v>
      </c>
      <c r="H147" s="126">
        <f t="shared" si="23"/>
        <v>18.5</v>
      </c>
      <c r="I147" s="126">
        <f t="shared" si="26"/>
        <v>1682.05</v>
      </c>
      <c r="J147" s="70">
        <f>TRUNC(F147 * E147, 2)</f>
        <v>1345.32</v>
      </c>
    </row>
    <row r="148" spans="1:10" ht="25.5" x14ac:dyDescent="0.2">
      <c r="A148" s="63" t="s">
        <v>249</v>
      </c>
      <c r="B148" s="124" t="s">
        <v>250</v>
      </c>
      <c r="C148" s="64" t="s">
        <v>251</v>
      </c>
      <c r="D148" s="125" t="s">
        <v>4</v>
      </c>
      <c r="E148" s="65">
        <f>59.35+46.75</f>
        <v>106.1</v>
      </c>
      <c r="F148" s="65">
        <v>10.77</v>
      </c>
      <c r="G148" s="65">
        <f t="shared" si="25"/>
        <v>1142.69</v>
      </c>
      <c r="H148" s="126">
        <f t="shared" si="23"/>
        <v>13.46</v>
      </c>
      <c r="I148" s="126">
        <f t="shared" si="26"/>
        <v>1428.7</v>
      </c>
      <c r="J148" s="70">
        <f>TRUNC(F148 * E148, 2)</f>
        <v>1142.69</v>
      </c>
    </row>
    <row r="149" spans="1:10" x14ac:dyDescent="0.2">
      <c r="A149" s="127" t="s">
        <v>252</v>
      </c>
      <c r="B149" s="128"/>
      <c r="C149" s="66" t="s">
        <v>253</v>
      </c>
      <c r="D149" s="66"/>
      <c r="E149" s="141"/>
      <c r="F149" s="143">
        <f>F150</f>
        <v>67.03</v>
      </c>
      <c r="G149" s="143">
        <f>G150</f>
        <v>45828.41</v>
      </c>
      <c r="H149" s="129">
        <f>H150</f>
        <v>83.8</v>
      </c>
      <c r="I149" s="129">
        <f>I150</f>
        <v>57299.26</v>
      </c>
      <c r="J149" s="75">
        <f>J150</f>
        <v>45828.41</v>
      </c>
    </row>
    <row r="150" spans="1:10" ht="42.75" customHeight="1" x14ac:dyDescent="0.2">
      <c r="A150" s="63" t="s">
        <v>254</v>
      </c>
      <c r="B150" s="124" t="s">
        <v>877</v>
      </c>
      <c r="C150" s="64" t="s">
        <v>255</v>
      </c>
      <c r="D150" s="125" t="s">
        <v>4</v>
      </c>
      <c r="E150" s="65">
        <f>527.8+155.9</f>
        <v>683.69999999999993</v>
      </c>
      <c r="F150" s="65">
        <v>67.03</v>
      </c>
      <c r="G150" s="65">
        <f t="shared" si="25"/>
        <v>45828.41</v>
      </c>
      <c r="H150" s="126">
        <f t="shared" si="23"/>
        <v>83.8</v>
      </c>
      <c r="I150" s="126">
        <f t="shared" si="26"/>
        <v>57299.26</v>
      </c>
      <c r="J150" s="70">
        <f>TRUNC(F150 * E150, 2)</f>
        <v>45828.41</v>
      </c>
    </row>
    <row r="151" spans="1:10" x14ac:dyDescent="0.2">
      <c r="A151" s="127" t="s">
        <v>256</v>
      </c>
      <c r="B151" s="128"/>
      <c r="C151" s="66" t="s">
        <v>257</v>
      </c>
      <c r="D151" s="66"/>
      <c r="E151" s="141"/>
      <c r="F151" s="143">
        <f>F152+F153</f>
        <v>152.16</v>
      </c>
      <c r="G151" s="143">
        <f>G152+G153</f>
        <v>6748.2800000000007</v>
      </c>
      <c r="H151" s="129">
        <f>H152+H153</f>
        <v>190.23999999999998</v>
      </c>
      <c r="I151" s="129">
        <f>SUM(I152:I153)</f>
        <v>8437.3700000000008</v>
      </c>
      <c r="J151" s="75">
        <f>SUM(J152:J153)</f>
        <v>6748.2800000000007</v>
      </c>
    </row>
    <row r="152" spans="1:10" ht="29.25" customHeight="1" x14ac:dyDescent="0.2">
      <c r="A152" s="63" t="s">
        <v>258</v>
      </c>
      <c r="B152" s="124" t="s">
        <v>878</v>
      </c>
      <c r="C152" s="64" t="s">
        <v>259</v>
      </c>
      <c r="D152" s="125" t="s">
        <v>267</v>
      </c>
      <c r="E152" s="65">
        <f>31+15.59</f>
        <v>46.59</v>
      </c>
      <c r="F152" s="65">
        <v>125.51</v>
      </c>
      <c r="G152" s="65">
        <f t="shared" si="25"/>
        <v>5847.51</v>
      </c>
      <c r="H152" s="126">
        <f t="shared" si="23"/>
        <v>156.91999999999999</v>
      </c>
      <c r="I152" s="126">
        <f t="shared" si="26"/>
        <v>7311.14</v>
      </c>
      <c r="J152" s="70">
        <f>TRUNC(F152 * E152, 2)</f>
        <v>5847.51</v>
      </c>
    </row>
    <row r="153" spans="1:10" ht="40.5" customHeight="1" x14ac:dyDescent="0.2">
      <c r="A153" s="63" t="s">
        <v>260</v>
      </c>
      <c r="B153" s="124" t="s">
        <v>879</v>
      </c>
      <c r="C153" s="64" t="s">
        <v>261</v>
      </c>
      <c r="D153" s="125" t="s">
        <v>267</v>
      </c>
      <c r="E153" s="65">
        <f>16+17.8</f>
        <v>33.799999999999997</v>
      </c>
      <c r="F153" s="65">
        <v>26.65</v>
      </c>
      <c r="G153" s="65">
        <f t="shared" si="25"/>
        <v>900.77</v>
      </c>
      <c r="H153" s="126">
        <f t="shared" si="23"/>
        <v>33.32</v>
      </c>
      <c r="I153" s="126">
        <f t="shared" si="26"/>
        <v>1126.23</v>
      </c>
      <c r="J153" s="70">
        <f>TRUNC(F153 * E153, 2)</f>
        <v>900.77</v>
      </c>
    </row>
    <row r="154" spans="1:10" x14ac:dyDescent="0.2">
      <c r="A154" s="127" t="s">
        <v>262</v>
      </c>
      <c r="B154" s="128"/>
      <c r="C154" s="66" t="s">
        <v>263</v>
      </c>
      <c r="D154" s="66"/>
      <c r="E154" s="141"/>
      <c r="F154" s="143">
        <f>F155+F156+F157</f>
        <v>227.28000000000003</v>
      </c>
      <c r="G154" s="143">
        <f>G155+G156+G157</f>
        <v>21207.29</v>
      </c>
      <c r="H154" s="129">
        <f>H155+H156+H157</f>
        <v>284.15999999999997</v>
      </c>
      <c r="I154" s="129">
        <f>SUM(I155:I157)</f>
        <v>26515.460000000003</v>
      </c>
      <c r="J154" s="75">
        <f>SUM(J155:J157)</f>
        <v>21207.29</v>
      </c>
    </row>
    <row r="155" spans="1:10" ht="29.25" customHeight="1" x14ac:dyDescent="0.2">
      <c r="A155" s="63" t="s">
        <v>264</v>
      </c>
      <c r="B155" s="124" t="s">
        <v>265</v>
      </c>
      <c r="C155" s="64" t="s">
        <v>266</v>
      </c>
      <c r="D155" s="125" t="s">
        <v>267</v>
      </c>
      <c r="E155" s="65">
        <f>93+46.77</f>
        <v>139.77000000000001</v>
      </c>
      <c r="F155" s="65">
        <v>86.42</v>
      </c>
      <c r="G155" s="65">
        <f t="shared" si="25"/>
        <v>12078.92</v>
      </c>
      <c r="H155" s="126">
        <f t="shared" si="23"/>
        <v>108.05</v>
      </c>
      <c r="I155" s="126">
        <f t="shared" si="26"/>
        <v>15102.27</v>
      </c>
      <c r="J155" s="70">
        <f>TRUNC(F155* E155, 2)</f>
        <v>12078.92</v>
      </c>
    </row>
    <row r="156" spans="1:10" ht="29.25" customHeight="1" x14ac:dyDescent="0.2">
      <c r="A156" s="63" t="s">
        <v>268</v>
      </c>
      <c r="B156" s="124" t="s">
        <v>880</v>
      </c>
      <c r="C156" s="64" t="s">
        <v>269</v>
      </c>
      <c r="D156" s="125" t="s">
        <v>267</v>
      </c>
      <c r="E156" s="65">
        <f>62+31.18</f>
        <v>93.18</v>
      </c>
      <c r="F156" s="65">
        <v>55.07</v>
      </c>
      <c r="G156" s="65">
        <f t="shared" si="25"/>
        <v>5131.42</v>
      </c>
      <c r="H156" s="126">
        <f t="shared" si="23"/>
        <v>68.849999999999994</v>
      </c>
      <c r="I156" s="126">
        <f t="shared" si="26"/>
        <v>6415.81</v>
      </c>
      <c r="J156" s="70">
        <f>TRUNC(F156* E156, 2)</f>
        <v>5131.42</v>
      </c>
    </row>
    <row r="157" spans="1:10" ht="29.25" customHeight="1" x14ac:dyDescent="0.2">
      <c r="A157" s="63" t="s">
        <v>270</v>
      </c>
      <c r="B157" s="124" t="s">
        <v>881</v>
      </c>
      <c r="C157" s="64" t="s">
        <v>271</v>
      </c>
      <c r="D157" s="125" t="s">
        <v>267</v>
      </c>
      <c r="E157" s="65">
        <f>31+15.59</f>
        <v>46.59</v>
      </c>
      <c r="F157" s="65">
        <v>85.79</v>
      </c>
      <c r="G157" s="65">
        <f t="shared" si="25"/>
        <v>3996.95</v>
      </c>
      <c r="H157" s="126">
        <f t="shared" si="23"/>
        <v>107.26</v>
      </c>
      <c r="I157" s="126">
        <f t="shared" si="26"/>
        <v>4997.38</v>
      </c>
      <c r="J157" s="70">
        <f>TRUNC(F157* E157, 2)</f>
        <v>3996.95</v>
      </c>
    </row>
    <row r="158" spans="1:10" x14ac:dyDescent="0.2">
      <c r="A158" s="127" t="s">
        <v>272</v>
      </c>
      <c r="B158" s="128"/>
      <c r="C158" s="66" t="s">
        <v>273</v>
      </c>
      <c r="D158" s="66"/>
      <c r="E158" s="141"/>
      <c r="F158" s="143">
        <f>F159+F160+F161+F162</f>
        <v>306.63</v>
      </c>
      <c r="G158" s="143">
        <f>G159+G160+G161+G162</f>
        <v>31449.260000000002</v>
      </c>
      <c r="H158" s="129">
        <f>H159+H160+H161+H162</f>
        <v>383.36</v>
      </c>
      <c r="I158" s="129">
        <f>SUM(I159:I162)</f>
        <v>39320.99</v>
      </c>
      <c r="J158" s="75">
        <f>SUM(J159:J162)</f>
        <v>31449.260000000002</v>
      </c>
    </row>
    <row r="159" spans="1:10" ht="28.5" customHeight="1" x14ac:dyDescent="0.2">
      <c r="A159" s="63" t="s">
        <v>274</v>
      </c>
      <c r="B159" s="124" t="s">
        <v>275</v>
      </c>
      <c r="C159" s="64" t="s">
        <v>276</v>
      </c>
      <c r="D159" s="125" t="s">
        <v>267</v>
      </c>
      <c r="E159" s="65">
        <f>48.4+27.8</f>
        <v>76.2</v>
      </c>
      <c r="F159" s="65">
        <v>58.42</v>
      </c>
      <c r="G159" s="65">
        <f t="shared" si="25"/>
        <v>4451.6000000000004</v>
      </c>
      <c r="H159" s="126">
        <f t="shared" si="23"/>
        <v>73.040000000000006</v>
      </c>
      <c r="I159" s="126">
        <f t="shared" si="26"/>
        <v>5565.83</v>
      </c>
      <c r="J159" s="70">
        <f>TRUNC(F159 * E159, 2)</f>
        <v>4451.6000000000004</v>
      </c>
    </row>
    <row r="160" spans="1:10" ht="29.25" customHeight="1" x14ac:dyDescent="0.2">
      <c r="A160" s="63" t="s">
        <v>277</v>
      </c>
      <c r="B160" s="124" t="s">
        <v>278</v>
      </c>
      <c r="C160" s="64" t="s">
        <v>279</v>
      </c>
      <c r="D160" s="125" t="s">
        <v>267</v>
      </c>
      <c r="E160" s="65">
        <f>63.8+15.59</f>
        <v>79.39</v>
      </c>
      <c r="F160" s="65">
        <v>77.08</v>
      </c>
      <c r="G160" s="65">
        <f t="shared" si="25"/>
        <v>6119.38</v>
      </c>
      <c r="H160" s="126">
        <f t="shared" si="23"/>
        <v>96.37</v>
      </c>
      <c r="I160" s="126">
        <f t="shared" si="26"/>
        <v>7651.06</v>
      </c>
      <c r="J160" s="70">
        <f>TRUNC(F160 * E160, 2)</f>
        <v>6119.38</v>
      </c>
    </row>
    <row r="161" spans="1:10" ht="27" customHeight="1" x14ac:dyDescent="0.2">
      <c r="A161" s="63" t="s">
        <v>280</v>
      </c>
      <c r="B161" s="124" t="s">
        <v>882</v>
      </c>
      <c r="C161" s="64" t="s">
        <v>1087</v>
      </c>
      <c r="D161" s="125" t="s">
        <v>4</v>
      </c>
      <c r="E161" s="65">
        <f>61.55+31.18</f>
        <v>92.72999999999999</v>
      </c>
      <c r="F161" s="65">
        <v>19.329999999999998</v>
      </c>
      <c r="G161" s="65">
        <f t="shared" si="25"/>
        <v>1792.47</v>
      </c>
      <c r="H161" s="126">
        <f t="shared" si="23"/>
        <v>24.16</v>
      </c>
      <c r="I161" s="126">
        <f t="shared" si="26"/>
        <v>2241.12</v>
      </c>
      <c r="J161" s="70">
        <f>TRUNC(F161 * E161, 2)</f>
        <v>1792.47</v>
      </c>
    </row>
    <row r="162" spans="1:10" ht="25.5" x14ac:dyDescent="0.2">
      <c r="A162" s="63" t="s">
        <v>281</v>
      </c>
      <c r="B162" s="124" t="s">
        <v>883</v>
      </c>
      <c r="C162" s="64" t="s">
        <v>1088</v>
      </c>
      <c r="D162" s="125" t="s">
        <v>267</v>
      </c>
      <c r="E162" s="65">
        <f>94.55+31.18</f>
        <v>125.72999999999999</v>
      </c>
      <c r="F162" s="65">
        <v>151.80000000000001</v>
      </c>
      <c r="G162" s="65">
        <f t="shared" si="25"/>
        <v>19085.810000000001</v>
      </c>
      <c r="H162" s="126">
        <f t="shared" si="23"/>
        <v>189.79</v>
      </c>
      <c r="I162" s="126">
        <f t="shared" si="26"/>
        <v>23862.98</v>
      </c>
      <c r="J162" s="70">
        <f>TRUNC(F162 * E162, 2)</f>
        <v>19085.810000000001</v>
      </c>
    </row>
    <row r="163" spans="1:10" x14ac:dyDescent="0.2">
      <c r="A163" s="127" t="s">
        <v>282</v>
      </c>
      <c r="B163" s="128"/>
      <c r="C163" s="66" t="s">
        <v>283</v>
      </c>
      <c r="D163" s="66"/>
      <c r="E163" s="141"/>
      <c r="F163" s="143">
        <f>F164+F165+F166+F167+F168</f>
        <v>158.13999999999999</v>
      </c>
      <c r="G163" s="143">
        <f>G164+G165+G166+G167+G168</f>
        <v>22942.75</v>
      </c>
      <c r="H163" s="129">
        <f>H164+H165+H166+H167+H168</f>
        <v>197.7</v>
      </c>
      <c r="I163" s="129">
        <f>SUM(I164:I168)</f>
        <v>28685.3</v>
      </c>
      <c r="J163" s="75">
        <f>SUM(J164:J168)</f>
        <v>22942.75</v>
      </c>
    </row>
    <row r="164" spans="1:10" ht="29.25" customHeight="1" x14ac:dyDescent="0.2">
      <c r="A164" s="63" t="s">
        <v>284</v>
      </c>
      <c r="B164" s="124" t="s">
        <v>884</v>
      </c>
      <c r="C164" s="64" t="s">
        <v>285</v>
      </c>
      <c r="D164" s="125" t="s">
        <v>4</v>
      </c>
      <c r="E164" s="65">
        <f>139.9+77.95</f>
        <v>217.85000000000002</v>
      </c>
      <c r="F164" s="65">
        <v>3.81</v>
      </c>
      <c r="G164" s="65">
        <f t="shared" si="25"/>
        <v>830</v>
      </c>
      <c r="H164" s="126">
        <f t="shared" si="23"/>
        <v>4.76</v>
      </c>
      <c r="I164" s="126">
        <f t="shared" si="26"/>
        <v>1037.74</v>
      </c>
      <c r="J164" s="70">
        <f>TRUNC(F164* E164, 2)</f>
        <v>830</v>
      </c>
    </row>
    <row r="165" spans="1:10" ht="41.25" customHeight="1" x14ac:dyDescent="0.2">
      <c r="A165" s="63" t="s">
        <v>286</v>
      </c>
      <c r="B165" s="124" t="s">
        <v>885</v>
      </c>
      <c r="C165" s="64" t="s">
        <v>287</v>
      </c>
      <c r="D165" s="125" t="s">
        <v>4</v>
      </c>
      <c r="E165" s="65">
        <f>167.9+93.54</f>
        <v>261.44</v>
      </c>
      <c r="F165" s="65">
        <v>5.32</v>
      </c>
      <c r="G165" s="65">
        <f t="shared" si="25"/>
        <v>1390.86</v>
      </c>
      <c r="H165" s="126">
        <f t="shared" si="23"/>
        <v>6.65</v>
      </c>
      <c r="I165" s="126">
        <f t="shared" si="26"/>
        <v>1738.99</v>
      </c>
      <c r="J165" s="70">
        <f>TRUNC(F165* E165, 2)</f>
        <v>1390.86</v>
      </c>
    </row>
    <row r="166" spans="1:10" ht="59.25" customHeight="1" x14ac:dyDescent="0.2">
      <c r="A166" s="63" t="s">
        <v>288</v>
      </c>
      <c r="B166" s="124" t="s">
        <v>886</v>
      </c>
      <c r="C166" s="64" t="s">
        <v>289</v>
      </c>
      <c r="D166" s="125" t="s">
        <v>4</v>
      </c>
      <c r="E166" s="65">
        <f>139.9+77.95</f>
        <v>217.85000000000002</v>
      </c>
      <c r="F166" s="65">
        <v>32.76</v>
      </c>
      <c r="G166" s="65">
        <f t="shared" si="25"/>
        <v>7136.76</v>
      </c>
      <c r="H166" s="126">
        <f t="shared" si="23"/>
        <v>40.950000000000003</v>
      </c>
      <c r="I166" s="126">
        <f t="shared" si="26"/>
        <v>8923.09</v>
      </c>
      <c r="J166" s="70">
        <f>TRUNC(F166* E166, 2)</f>
        <v>7136.76</v>
      </c>
    </row>
    <row r="167" spans="1:10" ht="41.25" customHeight="1" x14ac:dyDescent="0.2">
      <c r="A167" s="63" t="s">
        <v>290</v>
      </c>
      <c r="B167" s="124" t="s">
        <v>887</v>
      </c>
      <c r="C167" s="64" t="s">
        <v>291</v>
      </c>
      <c r="D167" s="125" t="s">
        <v>4</v>
      </c>
      <c r="E167" s="65">
        <f>167.9+93.54</f>
        <v>261.44</v>
      </c>
      <c r="F167" s="65">
        <v>45.56</v>
      </c>
      <c r="G167" s="65">
        <f t="shared" si="25"/>
        <v>11911.2</v>
      </c>
      <c r="H167" s="126">
        <f t="shared" si="23"/>
        <v>56.96</v>
      </c>
      <c r="I167" s="126">
        <f t="shared" si="26"/>
        <v>14892.57</v>
      </c>
      <c r="J167" s="70">
        <f>TRUNC(F167* E167, 2)</f>
        <v>11911.2</v>
      </c>
    </row>
    <row r="168" spans="1:10" ht="43.5" customHeight="1" x14ac:dyDescent="0.2">
      <c r="A168" s="63" t="s">
        <v>292</v>
      </c>
      <c r="B168" s="124" t="s">
        <v>888</v>
      </c>
      <c r="C168" s="64" t="s">
        <v>293</v>
      </c>
      <c r="D168" s="125" t="s">
        <v>4</v>
      </c>
      <c r="E168" s="65">
        <f>11.2+12.48</f>
        <v>23.68</v>
      </c>
      <c r="F168" s="65">
        <v>70.69</v>
      </c>
      <c r="G168" s="65">
        <f t="shared" si="25"/>
        <v>1673.93</v>
      </c>
      <c r="H168" s="126">
        <f t="shared" si="23"/>
        <v>88.38</v>
      </c>
      <c r="I168" s="126">
        <f t="shared" si="26"/>
        <v>2092.91</v>
      </c>
      <c r="J168" s="70">
        <f>TRUNC(F168* E168, 2)</f>
        <v>1673.93</v>
      </c>
    </row>
    <row r="169" spans="1:10" x14ac:dyDescent="0.2">
      <c r="A169" s="127" t="s">
        <v>294</v>
      </c>
      <c r="B169" s="128"/>
      <c r="C169" s="66" t="s">
        <v>295</v>
      </c>
      <c r="D169" s="66"/>
      <c r="E169" s="141"/>
      <c r="F169" s="143">
        <f>F170+F171+F172</f>
        <v>427.6</v>
      </c>
      <c r="G169" s="143">
        <f>G170+G171+G172</f>
        <v>40120.1</v>
      </c>
      <c r="H169" s="129">
        <f>H170+H171+H172</f>
        <v>534.61</v>
      </c>
      <c r="I169" s="129">
        <f>SUM(I170:I172)</f>
        <v>50162.150000000009</v>
      </c>
      <c r="J169" s="75">
        <f>SUM(J170:J172)</f>
        <v>40120.1</v>
      </c>
    </row>
    <row r="170" spans="1:10" ht="25.5" x14ac:dyDescent="0.2">
      <c r="A170" s="63" t="s">
        <v>296</v>
      </c>
      <c r="B170" s="130" t="s">
        <v>889</v>
      </c>
      <c r="C170" s="64" t="s">
        <v>297</v>
      </c>
      <c r="D170" s="125" t="s">
        <v>4</v>
      </c>
      <c r="E170" s="65">
        <f>125+93.54</f>
        <v>218.54000000000002</v>
      </c>
      <c r="F170" s="65">
        <v>87.6</v>
      </c>
      <c r="G170" s="65">
        <f t="shared" si="25"/>
        <v>19144.099999999999</v>
      </c>
      <c r="H170" s="126">
        <f t="shared" si="23"/>
        <v>109.52</v>
      </c>
      <c r="I170" s="126">
        <f t="shared" si="26"/>
        <v>23935.86</v>
      </c>
      <c r="J170" s="70">
        <f>TRUNC(F170 * E170, 2)</f>
        <v>19144.099999999999</v>
      </c>
    </row>
    <row r="171" spans="1:10" ht="29.25" customHeight="1" x14ac:dyDescent="0.2">
      <c r="A171" s="63" t="s">
        <v>298</v>
      </c>
      <c r="B171" s="130" t="s">
        <v>299</v>
      </c>
      <c r="C171" s="64" t="s">
        <v>300</v>
      </c>
      <c r="D171" s="125" t="s">
        <v>4</v>
      </c>
      <c r="E171" s="65">
        <f>63+31.2</f>
        <v>94.2</v>
      </c>
      <c r="F171" s="65">
        <v>160</v>
      </c>
      <c r="G171" s="65">
        <f t="shared" si="25"/>
        <v>15072</v>
      </c>
      <c r="H171" s="126">
        <f t="shared" si="23"/>
        <v>200.04</v>
      </c>
      <c r="I171" s="126">
        <f t="shared" si="26"/>
        <v>18844.52</v>
      </c>
      <c r="J171" s="70">
        <f>TRUNC(F171 * E171, 2)</f>
        <v>15072</v>
      </c>
    </row>
    <row r="172" spans="1:10" ht="18.75" customHeight="1" x14ac:dyDescent="0.2">
      <c r="A172" s="63" t="s">
        <v>1065</v>
      </c>
      <c r="B172" s="130" t="s">
        <v>301</v>
      </c>
      <c r="C172" s="64" t="s">
        <v>302</v>
      </c>
      <c r="D172" s="125" t="s">
        <v>4</v>
      </c>
      <c r="E172" s="65">
        <f>15+17.8</f>
        <v>32.799999999999997</v>
      </c>
      <c r="F172" s="65">
        <v>180</v>
      </c>
      <c r="G172" s="65">
        <f t="shared" si="25"/>
        <v>5904</v>
      </c>
      <c r="H172" s="126">
        <f t="shared" si="23"/>
        <v>225.05</v>
      </c>
      <c r="I172" s="126">
        <f t="shared" si="26"/>
        <v>7381.77</v>
      </c>
      <c r="J172" s="70">
        <f>TRUNC(F172 * E172, 2)</f>
        <v>5904</v>
      </c>
    </row>
    <row r="173" spans="1:10" x14ac:dyDescent="0.2">
      <c r="A173" s="127" t="s">
        <v>303</v>
      </c>
      <c r="B173" s="128"/>
      <c r="C173" s="66" t="s">
        <v>304</v>
      </c>
      <c r="D173" s="66"/>
      <c r="E173" s="141"/>
      <c r="F173" s="143">
        <f>F174+F186</f>
        <v>377.17</v>
      </c>
      <c r="G173" s="143">
        <f>G174+G186</f>
        <v>259069.38999999998</v>
      </c>
      <c r="H173" s="129">
        <f>H174+H186</f>
        <v>471.49</v>
      </c>
      <c r="I173" s="129">
        <f>I174+I186</f>
        <v>323914.38</v>
      </c>
      <c r="J173" s="75">
        <f>J174+J186</f>
        <v>259069.38999999998</v>
      </c>
    </row>
    <row r="174" spans="1:10" x14ac:dyDescent="0.2">
      <c r="A174" s="127" t="s">
        <v>305</v>
      </c>
      <c r="B174" s="128"/>
      <c r="C174" s="66" t="s">
        <v>306</v>
      </c>
      <c r="D174" s="66"/>
      <c r="E174" s="141"/>
      <c r="F174" s="143">
        <f>SUM(F175:F185)</f>
        <v>321.49</v>
      </c>
      <c r="G174" s="143">
        <f>G175+G176+G177+G178+G179+G180+G181+G182+G183+G184+G185</f>
        <v>252863.09</v>
      </c>
      <c r="H174" s="129">
        <f>SUM(H175:H185)</f>
        <v>401.89000000000004</v>
      </c>
      <c r="I174" s="129">
        <f>SUM(I175:I185)</f>
        <v>316154.68</v>
      </c>
      <c r="J174" s="75">
        <f>SUM(J175:J185)</f>
        <v>252863.09</v>
      </c>
    </row>
    <row r="175" spans="1:10" ht="30" customHeight="1" x14ac:dyDescent="0.2">
      <c r="A175" s="63" t="s">
        <v>307</v>
      </c>
      <c r="B175" s="124" t="s">
        <v>890</v>
      </c>
      <c r="C175" s="64" t="s">
        <v>308</v>
      </c>
      <c r="D175" s="125" t="s">
        <v>4</v>
      </c>
      <c r="E175" s="65">
        <f>185+95.35</f>
        <v>280.35000000000002</v>
      </c>
      <c r="F175" s="65">
        <v>2.88</v>
      </c>
      <c r="G175" s="65">
        <f t="shared" ref="G175:G239" si="27">TRUNC(E175*F175,2)</f>
        <v>807.4</v>
      </c>
      <c r="H175" s="126">
        <f t="shared" si="23"/>
        <v>3.6</v>
      </c>
      <c r="I175" s="126">
        <f t="shared" ref="I175:I239" si="28">TRUNC(G175*(1+I$8),2)</f>
        <v>1009.49</v>
      </c>
      <c r="J175" s="70">
        <f>TRUNC(F175 * E175, 2)</f>
        <v>807.4</v>
      </c>
    </row>
    <row r="176" spans="1:10" ht="21.75" customHeight="1" x14ac:dyDescent="0.2">
      <c r="A176" s="63" t="s">
        <v>309</v>
      </c>
      <c r="B176" s="124" t="s">
        <v>891</v>
      </c>
      <c r="C176" s="64" t="s">
        <v>310</v>
      </c>
      <c r="D176" s="125" t="s">
        <v>4</v>
      </c>
      <c r="E176" s="65">
        <f>185+95.35</f>
        <v>280.35000000000002</v>
      </c>
      <c r="F176" s="65">
        <v>9.42</v>
      </c>
      <c r="G176" s="65">
        <f t="shared" si="27"/>
        <v>2640.89</v>
      </c>
      <c r="H176" s="126">
        <f t="shared" si="23"/>
        <v>11.77</v>
      </c>
      <c r="I176" s="126">
        <f t="shared" si="28"/>
        <v>3301.9</v>
      </c>
      <c r="J176" s="70">
        <f t="shared" ref="J176:J185" si="29">TRUNC(F176 * E176, 2)</f>
        <v>2640.89</v>
      </c>
    </row>
    <row r="177" spans="1:10" ht="29.25" customHeight="1" x14ac:dyDescent="0.2">
      <c r="A177" s="63" t="s">
        <v>311</v>
      </c>
      <c r="B177" s="124" t="s">
        <v>892</v>
      </c>
      <c r="C177" s="64" t="s">
        <v>312</v>
      </c>
      <c r="D177" s="125" t="s">
        <v>4</v>
      </c>
      <c r="E177" s="65">
        <f>9680+4645</f>
        <v>14325</v>
      </c>
      <c r="F177" s="65">
        <v>11.42</v>
      </c>
      <c r="G177" s="65">
        <f t="shared" si="27"/>
        <v>163591.5</v>
      </c>
      <c r="H177" s="126">
        <f t="shared" si="23"/>
        <v>14.27</v>
      </c>
      <c r="I177" s="126">
        <f t="shared" si="28"/>
        <v>204538.45</v>
      </c>
      <c r="J177" s="70">
        <f t="shared" si="29"/>
        <v>163591.5</v>
      </c>
    </row>
    <row r="178" spans="1:10" ht="29.25" customHeight="1" x14ac:dyDescent="0.2">
      <c r="A178" s="63" t="s">
        <v>313</v>
      </c>
      <c r="B178" s="124" t="s">
        <v>893</v>
      </c>
      <c r="C178" s="64" t="s">
        <v>314</v>
      </c>
      <c r="D178" s="125" t="s">
        <v>4</v>
      </c>
      <c r="E178" s="65">
        <f>924+467.8</f>
        <v>1391.8</v>
      </c>
      <c r="F178" s="65">
        <v>11.76</v>
      </c>
      <c r="G178" s="65">
        <f t="shared" si="27"/>
        <v>16367.56</v>
      </c>
      <c r="H178" s="126">
        <f t="shared" si="23"/>
        <v>14.7</v>
      </c>
      <c r="I178" s="126">
        <f t="shared" si="28"/>
        <v>20464.36</v>
      </c>
      <c r="J178" s="70">
        <f t="shared" si="29"/>
        <v>16367.56</v>
      </c>
    </row>
    <row r="179" spans="1:10" ht="20.25" customHeight="1" x14ac:dyDescent="0.2">
      <c r="A179" s="63" t="s">
        <v>315</v>
      </c>
      <c r="B179" s="124" t="s">
        <v>894</v>
      </c>
      <c r="C179" s="64" t="s">
        <v>316</v>
      </c>
      <c r="D179" s="125" t="s">
        <v>4</v>
      </c>
      <c r="E179" s="65">
        <f>62+73.4</f>
        <v>135.4</v>
      </c>
      <c r="F179" s="65">
        <v>19.77</v>
      </c>
      <c r="G179" s="65">
        <f t="shared" si="27"/>
        <v>2676.85</v>
      </c>
      <c r="H179" s="126">
        <f t="shared" si="23"/>
        <v>24.71</v>
      </c>
      <c r="I179" s="126">
        <f t="shared" si="28"/>
        <v>3346.86</v>
      </c>
      <c r="J179" s="70">
        <f t="shared" si="29"/>
        <v>2676.85</v>
      </c>
    </row>
    <row r="180" spans="1:10" ht="30.75" customHeight="1" x14ac:dyDescent="0.2">
      <c r="A180" s="63" t="s">
        <v>317</v>
      </c>
      <c r="B180" s="124" t="s">
        <v>895</v>
      </c>
      <c r="C180" s="64" t="s">
        <v>318</v>
      </c>
      <c r="D180" s="125" t="s">
        <v>4</v>
      </c>
      <c r="E180" s="65">
        <f>216+139.15</f>
        <v>355.15</v>
      </c>
      <c r="F180" s="65">
        <v>21.56</v>
      </c>
      <c r="G180" s="65">
        <f t="shared" si="27"/>
        <v>7657.03</v>
      </c>
      <c r="H180" s="126">
        <f t="shared" si="23"/>
        <v>26.95</v>
      </c>
      <c r="I180" s="126">
        <f t="shared" si="28"/>
        <v>9573.58</v>
      </c>
      <c r="J180" s="70">
        <f t="shared" si="29"/>
        <v>7657.03</v>
      </c>
    </row>
    <row r="181" spans="1:10" ht="42" customHeight="1" x14ac:dyDescent="0.2">
      <c r="A181" s="63" t="s">
        <v>319</v>
      </c>
      <c r="B181" s="124" t="s">
        <v>896</v>
      </c>
      <c r="C181" s="64" t="s">
        <v>320</v>
      </c>
      <c r="D181" s="125" t="s">
        <v>4</v>
      </c>
      <c r="E181" s="65">
        <f>195+139.15</f>
        <v>334.15</v>
      </c>
      <c r="F181" s="65">
        <v>44.26</v>
      </c>
      <c r="G181" s="65">
        <f t="shared" si="27"/>
        <v>14789.47</v>
      </c>
      <c r="H181" s="126">
        <f t="shared" si="23"/>
        <v>55.33</v>
      </c>
      <c r="I181" s="126">
        <f t="shared" si="28"/>
        <v>18491.27</v>
      </c>
      <c r="J181" s="70">
        <f t="shared" si="29"/>
        <v>14789.47</v>
      </c>
    </row>
    <row r="182" spans="1:10" ht="17.25" customHeight="1" x14ac:dyDescent="0.2">
      <c r="A182" s="63" t="s">
        <v>321</v>
      </c>
      <c r="B182" s="124" t="s">
        <v>322</v>
      </c>
      <c r="C182" s="64" t="s">
        <v>323</v>
      </c>
      <c r="D182" s="125" t="s">
        <v>4</v>
      </c>
      <c r="E182" s="65">
        <f>203+86.8</f>
        <v>289.8</v>
      </c>
      <c r="F182" s="65">
        <v>21.56</v>
      </c>
      <c r="G182" s="65">
        <f t="shared" si="27"/>
        <v>6248.08</v>
      </c>
      <c r="H182" s="126">
        <f t="shared" si="23"/>
        <v>26.95</v>
      </c>
      <c r="I182" s="126">
        <f t="shared" si="28"/>
        <v>7811.97</v>
      </c>
      <c r="J182" s="70">
        <f t="shared" si="29"/>
        <v>6248.08</v>
      </c>
    </row>
    <row r="183" spans="1:10" ht="15" customHeight="1" x14ac:dyDescent="0.2">
      <c r="A183" s="63" t="s">
        <v>324</v>
      </c>
      <c r="B183" s="124" t="s">
        <v>325</v>
      </c>
      <c r="C183" s="64" t="s">
        <v>326</v>
      </c>
      <c r="D183" s="125" t="s">
        <v>4</v>
      </c>
      <c r="E183" s="65">
        <f>203+86.8</f>
        <v>289.8</v>
      </c>
      <c r="F183" s="65">
        <v>44.26</v>
      </c>
      <c r="G183" s="65">
        <f t="shared" si="27"/>
        <v>12826.54</v>
      </c>
      <c r="H183" s="126">
        <f t="shared" si="23"/>
        <v>55.33</v>
      </c>
      <c r="I183" s="126">
        <f t="shared" si="28"/>
        <v>16037.02</v>
      </c>
      <c r="J183" s="70">
        <f t="shared" si="29"/>
        <v>12826.54</v>
      </c>
    </row>
    <row r="184" spans="1:10" x14ac:dyDescent="0.2">
      <c r="A184" s="63" t="s">
        <v>1066</v>
      </c>
      <c r="B184" s="124" t="s">
        <v>327</v>
      </c>
      <c r="C184" s="64" t="s">
        <v>328</v>
      </c>
      <c r="D184" s="125" t="s">
        <v>4</v>
      </c>
      <c r="E184" s="65">
        <f>88+87.95</f>
        <v>175.95</v>
      </c>
      <c r="F184" s="65">
        <v>119.25</v>
      </c>
      <c r="G184" s="65">
        <f t="shared" si="27"/>
        <v>20982.03</v>
      </c>
      <c r="H184" s="126">
        <f t="shared" si="23"/>
        <v>149.09</v>
      </c>
      <c r="I184" s="126">
        <f t="shared" si="28"/>
        <v>26233.83</v>
      </c>
      <c r="J184" s="70">
        <f t="shared" si="29"/>
        <v>20982.03</v>
      </c>
    </row>
    <row r="185" spans="1:10" ht="25.5" x14ac:dyDescent="0.2">
      <c r="A185" s="63" t="s">
        <v>1131</v>
      </c>
      <c r="B185" s="124" t="s">
        <v>897</v>
      </c>
      <c r="C185" s="64" t="s">
        <v>1089</v>
      </c>
      <c r="D185" s="125" t="s">
        <v>4</v>
      </c>
      <c r="E185" s="65">
        <f>185+93.55</f>
        <v>278.55</v>
      </c>
      <c r="F185" s="65">
        <v>15.35</v>
      </c>
      <c r="G185" s="65">
        <f t="shared" si="27"/>
        <v>4275.74</v>
      </c>
      <c r="H185" s="126">
        <f t="shared" si="23"/>
        <v>19.190000000000001</v>
      </c>
      <c r="I185" s="126">
        <f t="shared" si="28"/>
        <v>5345.95</v>
      </c>
      <c r="J185" s="70">
        <f t="shared" si="29"/>
        <v>4275.74</v>
      </c>
    </row>
    <row r="186" spans="1:10" x14ac:dyDescent="0.2">
      <c r="A186" s="127" t="s">
        <v>329</v>
      </c>
      <c r="B186" s="128"/>
      <c r="C186" s="66" t="s">
        <v>330</v>
      </c>
      <c r="D186" s="66"/>
      <c r="E186" s="141"/>
      <c r="F186" s="143">
        <f>SUM(F187:F190)</f>
        <v>55.68</v>
      </c>
      <c r="G186" s="143">
        <f>G187+G188+G189+G190</f>
        <v>6206.2999999999993</v>
      </c>
      <c r="H186" s="129">
        <f>SUM(H187:H190)</f>
        <v>69.599999999999994</v>
      </c>
      <c r="I186" s="129">
        <f>SUM(I187:I190)</f>
        <v>7759.7</v>
      </c>
      <c r="J186" s="75">
        <f>SUM(J187:J190)</f>
        <v>6206.2999999999993</v>
      </c>
    </row>
    <row r="187" spans="1:10" x14ac:dyDescent="0.2">
      <c r="A187" s="63" t="s">
        <v>331</v>
      </c>
      <c r="B187" s="124" t="s">
        <v>898</v>
      </c>
      <c r="C187" s="64" t="s">
        <v>332</v>
      </c>
      <c r="D187" s="125" t="s">
        <v>267</v>
      </c>
      <c r="E187" s="65">
        <f>839.4+615</f>
        <v>1454.4</v>
      </c>
      <c r="F187" s="65">
        <v>1.36</v>
      </c>
      <c r="G187" s="65">
        <f t="shared" si="27"/>
        <v>1977.98</v>
      </c>
      <c r="H187" s="126">
        <f t="shared" si="23"/>
        <v>1.7</v>
      </c>
      <c r="I187" s="126">
        <f t="shared" si="28"/>
        <v>2473.06</v>
      </c>
      <c r="J187" s="70">
        <f>TRUNC(F187* E187, 2)</f>
        <v>1977.98</v>
      </c>
    </row>
    <row r="188" spans="1:10" ht="14.25" customHeight="1" x14ac:dyDescent="0.2">
      <c r="A188" s="63" t="s">
        <v>333</v>
      </c>
      <c r="B188" s="124" t="s">
        <v>899</v>
      </c>
      <c r="C188" s="64" t="s">
        <v>334</v>
      </c>
      <c r="D188" s="125" t="s">
        <v>267</v>
      </c>
      <c r="E188" s="65">
        <f>28+195.9</f>
        <v>223.9</v>
      </c>
      <c r="F188" s="65">
        <v>11.87</v>
      </c>
      <c r="G188" s="65">
        <f t="shared" si="27"/>
        <v>2657.69</v>
      </c>
      <c r="H188" s="126">
        <f t="shared" ref="H188:H251" si="30">TRUNC(F188*(1+I$8),2)</f>
        <v>14.84</v>
      </c>
      <c r="I188" s="126">
        <f t="shared" si="28"/>
        <v>3322.9</v>
      </c>
      <c r="J188" s="70">
        <f>TRUNC(F188* E188, 2)</f>
        <v>2657.69</v>
      </c>
    </row>
    <row r="189" spans="1:10" ht="26.25" customHeight="1" x14ac:dyDescent="0.2">
      <c r="A189" s="63" t="s">
        <v>335</v>
      </c>
      <c r="B189" s="124" t="s">
        <v>900</v>
      </c>
      <c r="C189" s="64" t="s">
        <v>336</v>
      </c>
      <c r="D189" s="125" t="s">
        <v>4</v>
      </c>
      <c r="E189" s="65">
        <f>25.2+14.05</f>
        <v>39.25</v>
      </c>
      <c r="F189" s="65">
        <v>20.49</v>
      </c>
      <c r="G189" s="65">
        <f t="shared" si="27"/>
        <v>804.23</v>
      </c>
      <c r="H189" s="126">
        <f t="shared" si="30"/>
        <v>25.61</v>
      </c>
      <c r="I189" s="126">
        <f t="shared" si="28"/>
        <v>1005.52</v>
      </c>
      <c r="J189" s="70">
        <f>TRUNC(F189* E189, 2)</f>
        <v>804.23</v>
      </c>
    </row>
    <row r="190" spans="1:10" ht="30" customHeight="1" x14ac:dyDescent="0.2">
      <c r="A190" s="63" t="s">
        <v>337</v>
      </c>
      <c r="B190" s="124" t="s">
        <v>901</v>
      </c>
      <c r="C190" s="64" t="s">
        <v>338</v>
      </c>
      <c r="D190" s="125" t="s">
        <v>4</v>
      </c>
      <c r="E190" s="65">
        <f>22.4+12.5</f>
        <v>34.9</v>
      </c>
      <c r="F190" s="65">
        <v>21.96</v>
      </c>
      <c r="G190" s="65">
        <f t="shared" si="27"/>
        <v>766.4</v>
      </c>
      <c r="H190" s="126">
        <f t="shared" si="30"/>
        <v>27.45</v>
      </c>
      <c r="I190" s="126">
        <f t="shared" si="28"/>
        <v>958.22</v>
      </c>
      <c r="J190" s="70">
        <f>TRUNC(F190* E190, 2)</f>
        <v>766.4</v>
      </c>
    </row>
    <row r="191" spans="1:10" x14ac:dyDescent="0.2">
      <c r="A191" s="127" t="s">
        <v>339</v>
      </c>
      <c r="B191" s="128"/>
      <c r="C191" s="66" t="s">
        <v>340</v>
      </c>
      <c r="D191" s="66"/>
      <c r="E191" s="141"/>
      <c r="F191" s="143">
        <f>SUM(F192:F199)</f>
        <v>1315.24</v>
      </c>
      <c r="G191" s="143">
        <f>SUM(G192:G199)</f>
        <v>54378.780000000006</v>
      </c>
      <c r="H191" s="129">
        <f>SUM(H192:H199)</f>
        <v>1644.41</v>
      </c>
      <c r="I191" s="129">
        <f>SUM(I192:I199)</f>
        <v>67989.740000000005</v>
      </c>
      <c r="J191" s="75">
        <f>SUM(J192:J199)</f>
        <v>54378.780000000006</v>
      </c>
    </row>
    <row r="192" spans="1:10" ht="29.25" customHeight="1" x14ac:dyDescent="0.2">
      <c r="A192" s="63" t="s">
        <v>341</v>
      </c>
      <c r="B192" s="124" t="s">
        <v>902</v>
      </c>
      <c r="C192" s="64" t="s">
        <v>342</v>
      </c>
      <c r="D192" s="125" t="s">
        <v>9</v>
      </c>
      <c r="E192" s="65">
        <f>9.25+4.65</f>
        <v>13.9</v>
      </c>
      <c r="F192" s="65">
        <v>690.89</v>
      </c>
      <c r="G192" s="65">
        <f t="shared" si="27"/>
        <v>9603.3700000000008</v>
      </c>
      <c r="H192" s="126">
        <f t="shared" si="30"/>
        <v>863.81</v>
      </c>
      <c r="I192" s="126">
        <f t="shared" si="28"/>
        <v>12007.09</v>
      </c>
      <c r="J192" s="70">
        <f>TRUNC(F192 * E192, 2)</f>
        <v>9603.3700000000008</v>
      </c>
    </row>
    <row r="193" spans="1:10" ht="41.25" customHeight="1" x14ac:dyDescent="0.2">
      <c r="A193" s="63" t="s">
        <v>343</v>
      </c>
      <c r="B193" s="124" t="s">
        <v>903</v>
      </c>
      <c r="C193" s="64" t="s">
        <v>344</v>
      </c>
      <c r="D193" s="125" t="s">
        <v>4</v>
      </c>
      <c r="E193" s="65">
        <f>9.25+4.65</f>
        <v>13.9</v>
      </c>
      <c r="F193" s="65">
        <v>28.38</v>
      </c>
      <c r="G193" s="65">
        <f t="shared" si="27"/>
        <v>394.48</v>
      </c>
      <c r="H193" s="126">
        <f t="shared" si="30"/>
        <v>35.479999999999997</v>
      </c>
      <c r="I193" s="126">
        <f t="shared" si="28"/>
        <v>493.21</v>
      </c>
      <c r="J193" s="70">
        <f t="shared" ref="J193:J199" si="31">TRUNC(F193 * E193, 2)</f>
        <v>394.48</v>
      </c>
    </row>
    <row r="194" spans="1:10" ht="29.25" customHeight="1" x14ac:dyDescent="0.2">
      <c r="A194" s="63" t="s">
        <v>345</v>
      </c>
      <c r="B194" s="124" t="s">
        <v>346</v>
      </c>
      <c r="C194" s="64" t="s">
        <v>347</v>
      </c>
      <c r="D194" s="125" t="s">
        <v>4</v>
      </c>
      <c r="E194" s="65">
        <f>43.6+30.9</f>
        <v>74.5</v>
      </c>
      <c r="F194" s="65">
        <v>130.46</v>
      </c>
      <c r="G194" s="65">
        <f t="shared" si="27"/>
        <v>9719.27</v>
      </c>
      <c r="H194" s="126">
        <f t="shared" si="30"/>
        <v>163.11000000000001</v>
      </c>
      <c r="I194" s="126">
        <f t="shared" si="28"/>
        <v>12152</v>
      </c>
      <c r="J194" s="70">
        <f t="shared" si="31"/>
        <v>9719.27</v>
      </c>
    </row>
    <row r="195" spans="1:10" ht="23.25" customHeight="1" x14ac:dyDescent="0.2">
      <c r="A195" s="63" t="s">
        <v>348</v>
      </c>
      <c r="B195" s="124" t="s">
        <v>904</v>
      </c>
      <c r="C195" s="64" t="s">
        <v>1145</v>
      </c>
      <c r="D195" s="125" t="s">
        <v>4</v>
      </c>
      <c r="E195" s="65">
        <f>43.6+30.9</f>
        <v>74.5</v>
      </c>
      <c r="F195" s="65">
        <v>122.22</v>
      </c>
      <c r="G195" s="65">
        <f t="shared" si="27"/>
        <v>9105.39</v>
      </c>
      <c r="H195" s="126">
        <f t="shared" si="30"/>
        <v>152.81</v>
      </c>
      <c r="I195" s="126">
        <f t="shared" si="28"/>
        <v>11384.46</v>
      </c>
      <c r="J195" s="70">
        <f t="shared" si="31"/>
        <v>9105.39</v>
      </c>
    </row>
    <row r="196" spans="1:10" ht="44.25" customHeight="1" x14ac:dyDescent="0.2">
      <c r="A196" s="63" t="s">
        <v>349</v>
      </c>
      <c r="B196" s="124" t="s">
        <v>905</v>
      </c>
      <c r="C196" s="64" t="s">
        <v>350</v>
      </c>
      <c r="D196" s="125" t="s">
        <v>4</v>
      </c>
      <c r="E196" s="65">
        <f>15.4+17.8</f>
        <v>33.200000000000003</v>
      </c>
      <c r="F196" s="65">
        <v>62.73</v>
      </c>
      <c r="G196" s="65">
        <f t="shared" si="27"/>
        <v>2082.63</v>
      </c>
      <c r="H196" s="126">
        <f t="shared" si="30"/>
        <v>78.430000000000007</v>
      </c>
      <c r="I196" s="126">
        <f t="shared" si="28"/>
        <v>2603.91</v>
      </c>
      <c r="J196" s="70">
        <f t="shared" si="31"/>
        <v>2082.63</v>
      </c>
    </row>
    <row r="197" spans="1:10" ht="27.75" customHeight="1" x14ac:dyDescent="0.2">
      <c r="A197" s="63" t="s">
        <v>351</v>
      </c>
      <c r="B197" s="124" t="s">
        <v>906</v>
      </c>
      <c r="C197" s="64" t="s">
        <v>352</v>
      </c>
      <c r="D197" s="125" t="s">
        <v>267</v>
      </c>
      <c r="E197" s="65">
        <f>7+13.9</f>
        <v>20.9</v>
      </c>
      <c r="F197" s="65">
        <v>9.2799999999999994</v>
      </c>
      <c r="G197" s="65">
        <f t="shared" si="27"/>
        <v>193.95</v>
      </c>
      <c r="H197" s="126">
        <f t="shared" si="30"/>
        <v>11.6</v>
      </c>
      <c r="I197" s="126">
        <f t="shared" si="28"/>
        <v>242.49</v>
      </c>
      <c r="J197" s="70">
        <f t="shared" si="31"/>
        <v>193.95</v>
      </c>
    </row>
    <row r="198" spans="1:10" ht="28.5" customHeight="1" x14ac:dyDescent="0.2">
      <c r="A198" s="63" t="s">
        <v>353</v>
      </c>
      <c r="B198" s="124" t="s">
        <v>354</v>
      </c>
      <c r="C198" s="64" t="s">
        <v>355</v>
      </c>
      <c r="D198" s="125" t="s">
        <v>4</v>
      </c>
      <c r="E198" s="65">
        <f>151.9+112.35</f>
        <v>264.25</v>
      </c>
      <c r="F198" s="65">
        <v>66.56</v>
      </c>
      <c r="G198" s="65">
        <f t="shared" si="27"/>
        <v>17588.48</v>
      </c>
      <c r="H198" s="126">
        <f t="shared" si="30"/>
        <v>83.21</v>
      </c>
      <c r="I198" s="126">
        <f t="shared" si="28"/>
        <v>21990.87</v>
      </c>
      <c r="J198" s="70">
        <f t="shared" si="31"/>
        <v>17588.48</v>
      </c>
    </row>
    <row r="199" spans="1:10" ht="28.5" customHeight="1" x14ac:dyDescent="0.2">
      <c r="A199" s="63" t="s">
        <v>356</v>
      </c>
      <c r="B199" s="124" t="s">
        <v>907</v>
      </c>
      <c r="C199" s="64" t="s">
        <v>357</v>
      </c>
      <c r="D199" s="125" t="s">
        <v>4</v>
      </c>
      <c r="E199" s="65">
        <f>10+17.8</f>
        <v>27.8</v>
      </c>
      <c r="F199" s="65">
        <v>204.72</v>
      </c>
      <c r="G199" s="65">
        <f t="shared" si="27"/>
        <v>5691.21</v>
      </c>
      <c r="H199" s="126">
        <f t="shared" si="30"/>
        <v>255.96</v>
      </c>
      <c r="I199" s="126">
        <f t="shared" si="28"/>
        <v>7115.71</v>
      </c>
      <c r="J199" s="70">
        <f t="shared" si="31"/>
        <v>5691.21</v>
      </c>
    </row>
    <row r="200" spans="1:10" x14ac:dyDescent="0.2">
      <c r="A200" s="127" t="s">
        <v>358</v>
      </c>
      <c r="B200" s="128"/>
      <c r="C200" s="66" t="s">
        <v>359</v>
      </c>
      <c r="D200" s="66"/>
      <c r="E200" s="141"/>
      <c r="F200" s="143">
        <f>SUM(F201:F204)</f>
        <v>1472.1</v>
      </c>
      <c r="G200" s="143">
        <f>G201+G202+G203+G204</f>
        <v>24238.440000000002</v>
      </c>
      <c r="H200" s="129">
        <f>SUM(H201:H204)</f>
        <v>1840.56</v>
      </c>
      <c r="I200" s="129">
        <f>SUM(I201:I204)</f>
        <v>30305.29</v>
      </c>
      <c r="J200" s="75">
        <f>SUM(J201:J204)</f>
        <v>24238.440000000002</v>
      </c>
    </row>
    <row r="201" spans="1:10" ht="28.5" customHeight="1" x14ac:dyDescent="0.2">
      <c r="A201" s="63" t="s">
        <v>360</v>
      </c>
      <c r="B201" s="124" t="s">
        <v>908</v>
      </c>
      <c r="C201" s="64" t="s">
        <v>361</v>
      </c>
      <c r="D201" s="125" t="s">
        <v>4</v>
      </c>
      <c r="E201" s="65">
        <f>4.2+12.35</f>
        <v>16.55</v>
      </c>
      <c r="F201" s="65">
        <v>722.06</v>
      </c>
      <c r="G201" s="65">
        <f t="shared" si="27"/>
        <v>11950.09</v>
      </c>
      <c r="H201" s="126">
        <f t="shared" si="30"/>
        <v>902.79</v>
      </c>
      <c r="I201" s="126">
        <f t="shared" si="28"/>
        <v>14941.19</v>
      </c>
      <c r="J201" s="70">
        <f>TRUNC(F201* E201, 2)</f>
        <v>11950.09</v>
      </c>
    </row>
    <row r="202" spans="1:10" x14ac:dyDescent="0.2">
      <c r="A202" s="63" t="s">
        <v>362</v>
      </c>
      <c r="B202" s="124" t="s">
        <v>909</v>
      </c>
      <c r="C202" s="64" t="s">
        <v>363</v>
      </c>
      <c r="D202" s="125" t="s">
        <v>267</v>
      </c>
      <c r="E202" s="65">
        <f>5.6+3.1</f>
        <v>8.6999999999999993</v>
      </c>
      <c r="F202" s="65">
        <v>130.49</v>
      </c>
      <c r="G202" s="65">
        <f t="shared" si="27"/>
        <v>1135.26</v>
      </c>
      <c r="H202" s="126">
        <f t="shared" si="30"/>
        <v>163.15</v>
      </c>
      <c r="I202" s="126">
        <f t="shared" si="28"/>
        <v>1419.41</v>
      </c>
      <c r="J202" s="70">
        <f>TRUNC(F202* E202, 2)</f>
        <v>1135.26</v>
      </c>
    </row>
    <row r="203" spans="1:10" ht="28.5" customHeight="1" x14ac:dyDescent="0.2">
      <c r="A203" s="63" t="s">
        <v>364</v>
      </c>
      <c r="B203" s="124" t="s">
        <v>365</v>
      </c>
      <c r="C203" s="64" t="s">
        <v>366</v>
      </c>
      <c r="D203" s="125" t="s">
        <v>267</v>
      </c>
      <c r="E203" s="65">
        <f>8.4+4.7</f>
        <v>13.100000000000001</v>
      </c>
      <c r="F203" s="65">
        <v>82.03</v>
      </c>
      <c r="G203" s="65">
        <f t="shared" si="27"/>
        <v>1074.5899999999999</v>
      </c>
      <c r="H203" s="126">
        <f t="shared" si="30"/>
        <v>102.56</v>
      </c>
      <c r="I203" s="126">
        <f t="shared" si="28"/>
        <v>1343.55</v>
      </c>
      <c r="J203" s="70">
        <f>TRUNC(F203* E203, 2)</f>
        <v>1074.5899999999999</v>
      </c>
    </row>
    <row r="204" spans="1:10" ht="44.25" customHeight="1" x14ac:dyDescent="0.2">
      <c r="A204" s="63" t="s">
        <v>367</v>
      </c>
      <c r="B204" s="124" t="s">
        <v>368</v>
      </c>
      <c r="C204" s="64" t="s">
        <v>369</v>
      </c>
      <c r="D204" s="125" t="s">
        <v>267</v>
      </c>
      <c r="E204" s="65">
        <f>5.6+13.15</f>
        <v>18.75</v>
      </c>
      <c r="F204" s="65">
        <v>537.52</v>
      </c>
      <c r="G204" s="65">
        <f t="shared" si="27"/>
        <v>10078.5</v>
      </c>
      <c r="H204" s="126">
        <f t="shared" si="30"/>
        <v>672.06</v>
      </c>
      <c r="I204" s="126">
        <f t="shared" si="28"/>
        <v>12601.14</v>
      </c>
      <c r="J204" s="70">
        <f>TRUNC(F204* E204, 2)</f>
        <v>10078.5</v>
      </c>
    </row>
    <row r="205" spans="1:10" x14ac:dyDescent="0.2">
      <c r="A205" s="127" t="s">
        <v>370</v>
      </c>
      <c r="B205" s="128"/>
      <c r="C205" s="66" t="s">
        <v>771</v>
      </c>
      <c r="D205" s="66"/>
      <c r="E205" s="141"/>
      <c r="F205" s="143">
        <f>F206+F207+F208</f>
        <v>5774.71</v>
      </c>
      <c r="G205" s="143">
        <f>G206+G207+G208</f>
        <v>26031.48</v>
      </c>
      <c r="H205" s="129">
        <f>H206+H207+H208</f>
        <v>7220.0999999999995</v>
      </c>
      <c r="I205" s="129">
        <f>SUM(I206:I208)</f>
        <v>32547.14</v>
      </c>
      <c r="J205" s="75">
        <f>SUM(J206:J208)</f>
        <v>26031.48</v>
      </c>
    </row>
    <row r="206" spans="1:10" ht="30.75" customHeight="1" x14ac:dyDescent="0.2">
      <c r="A206" s="63" t="s">
        <v>371</v>
      </c>
      <c r="B206" s="124" t="s">
        <v>910</v>
      </c>
      <c r="C206" s="64" t="s">
        <v>372</v>
      </c>
      <c r="D206" s="125" t="s">
        <v>168</v>
      </c>
      <c r="E206" s="65">
        <f>17+12</f>
        <v>29</v>
      </c>
      <c r="F206" s="65">
        <v>36.67</v>
      </c>
      <c r="G206" s="65">
        <f t="shared" si="27"/>
        <v>1063.43</v>
      </c>
      <c r="H206" s="126">
        <f t="shared" si="30"/>
        <v>45.84</v>
      </c>
      <c r="I206" s="126">
        <f t="shared" si="28"/>
        <v>1329.6</v>
      </c>
      <c r="J206" s="70">
        <f>TRUNC(F206 * E206, 2)</f>
        <v>1063.43</v>
      </c>
    </row>
    <row r="207" spans="1:10" ht="41.25" customHeight="1" x14ac:dyDescent="0.2">
      <c r="A207" s="63" t="s">
        <v>373</v>
      </c>
      <c r="B207" s="124" t="s">
        <v>374</v>
      </c>
      <c r="C207" s="64" t="s">
        <v>375</v>
      </c>
      <c r="D207" s="125" t="s">
        <v>168</v>
      </c>
      <c r="E207" s="65">
        <f>2+1</f>
        <v>3</v>
      </c>
      <c r="F207" s="65">
        <v>4926.1099999999997</v>
      </c>
      <c r="G207" s="65">
        <f t="shared" si="27"/>
        <v>14778.33</v>
      </c>
      <c r="H207" s="126">
        <f t="shared" si="30"/>
        <v>6159.11</v>
      </c>
      <c r="I207" s="126">
        <f t="shared" si="28"/>
        <v>18477.34</v>
      </c>
      <c r="J207" s="70">
        <f>TRUNC(F207 * E207, 2)</f>
        <v>14778.33</v>
      </c>
    </row>
    <row r="208" spans="1:10" ht="81.75" customHeight="1" x14ac:dyDescent="0.2">
      <c r="A208" s="63" t="s">
        <v>376</v>
      </c>
      <c r="B208" s="124" t="s">
        <v>377</v>
      </c>
      <c r="C208" s="64" t="s">
        <v>1072</v>
      </c>
      <c r="D208" s="125" t="s">
        <v>267</v>
      </c>
      <c r="E208" s="65">
        <f>4.2+8.35</f>
        <v>12.55</v>
      </c>
      <c r="F208" s="65">
        <v>811.93</v>
      </c>
      <c r="G208" s="65">
        <f t="shared" si="27"/>
        <v>10189.719999999999</v>
      </c>
      <c r="H208" s="126">
        <f t="shared" si="30"/>
        <v>1015.15</v>
      </c>
      <c r="I208" s="126">
        <f t="shared" si="28"/>
        <v>12740.2</v>
      </c>
      <c r="J208" s="70">
        <f>TRUNC(F208 * E208, 2)</f>
        <v>10189.719999999999</v>
      </c>
    </row>
    <row r="209" spans="1:10" x14ac:dyDescent="0.2">
      <c r="A209" s="127" t="s">
        <v>378</v>
      </c>
      <c r="B209" s="128"/>
      <c r="C209" s="66" t="s">
        <v>379</v>
      </c>
      <c r="D209" s="66"/>
      <c r="E209" s="141"/>
      <c r="F209" s="143">
        <f>SUM(F210:F236)</f>
        <v>6888.4099999999989</v>
      </c>
      <c r="G209" s="143">
        <f>SUM(G210:G236)</f>
        <v>64627.33</v>
      </c>
      <c r="H209" s="129">
        <f>SUM(H210:H236)</f>
        <v>8612.4399999999987</v>
      </c>
      <c r="I209" s="129">
        <f>SUM(I210:I236)</f>
        <v>80803.450000000012</v>
      </c>
      <c r="J209" s="75">
        <f>SUM(J210:J236)</f>
        <v>64627.33</v>
      </c>
    </row>
    <row r="210" spans="1:10" ht="30.75" customHeight="1" x14ac:dyDescent="0.2">
      <c r="A210" s="63" t="s">
        <v>380</v>
      </c>
      <c r="B210" s="124" t="s">
        <v>911</v>
      </c>
      <c r="C210" s="64" t="s">
        <v>381</v>
      </c>
      <c r="D210" s="125" t="s">
        <v>168</v>
      </c>
      <c r="E210" s="65">
        <f>5+2</f>
        <v>7</v>
      </c>
      <c r="F210" s="65">
        <v>798.54</v>
      </c>
      <c r="G210" s="65">
        <f t="shared" si="27"/>
        <v>5589.78</v>
      </c>
      <c r="H210" s="126">
        <f t="shared" si="30"/>
        <v>998.41</v>
      </c>
      <c r="I210" s="126">
        <f t="shared" si="28"/>
        <v>6988.9</v>
      </c>
      <c r="J210" s="70">
        <f>TRUNC(F210 * E210, 2)</f>
        <v>5589.78</v>
      </c>
    </row>
    <row r="211" spans="1:10" ht="30" customHeight="1" x14ac:dyDescent="0.2">
      <c r="A211" s="63" t="s">
        <v>382</v>
      </c>
      <c r="B211" s="124" t="s">
        <v>912</v>
      </c>
      <c r="C211" s="64" t="s">
        <v>383</v>
      </c>
      <c r="D211" s="125" t="s">
        <v>168</v>
      </c>
      <c r="E211" s="65">
        <f>6+7</f>
        <v>13</v>
      </c>
      <c r="F211" s="65">
        <v>520.01</v>
      </c>
      <c r="G211" s="65">
        <f t="shared" si="27"/>
        <v>6760.13</v>
      </c>
      <c r="H211" s="126">
        <f t="shared" si="30"/>
        <v>650.16</v>
      </c>
      <c r="I211" s="126">
        <f t="shared" si="28"/>
        <v>8452.19</v>
      </c>
      <c r="J211" s="70">
        <f t="shared" ref="J211:J236" si="32">TRUNC(F211 * E211, 2)</f>
        <v>6760.13</v>
      </c>
    </row>
    <row r="212" spans="1:10" ht="16.5" customHeight="1" x14ac:dyDescent="0.2">
      <c r="A212" s="63" t="s">
        <v>384</v>
      </c>
      <c r="B212" s="124" t="s">
        <v>913</v>
      </c>
      <c r="C212" s="64" t="s">
        <v>385</v>
      </c>
      <c r="D212" s="125" t="s">
        <v>168</v>
      </c>
      <c r="E212" s="65">
        <f>28+15</f>
        <v>43</v>
      </c>
      <c r="F212" s="65">
        <v>37.18</v>
      </c>
      <c r="G212" s="65">
        <f t="shared" si="27"/>
        <v>1598.74</v>
      </c>
      <c r="H212" s="126">
        <f t="shared" si="30"/>
        <v>46.48</v>
      </c>
      <c r="I212" s="126">
        <f t="shared" si="28"/>
        <v>1998.9</v>
      </c>
      <c r="J212" s="70">
        <f t="shared" si="32"/>
        <v>1598.74</v>
      </c>
    </row>
    <row r="213" spans="1:10" ht="16.5" customHeight="1" x14ac:dyDescent="0.2">
      <c r="A213" s="63" t="s">
        <v>386</v>
      </c>
      <c r="B213" s="124" t="s">
        <v>387</v>
      </c>
      <c r="C213" s="64" t="s">
        <v>388</v>
      </c>
      <c r="D213" s="125" t="s">
        <v>168</v>
      </c>
      <c r="E213" s="65">
        <f>5+5</f>
        <v>10</v>
      </c>
      <c r="F213" s="65">
        <v>660.23</v>
      </c>
      <c r="G213" s="65">
        <f t="shared" si="27"/>
        <v>6602.3</v>
      </c>
      <c r="H213" s="126">
        <f t="shared" si="30"/>
        <v>825.48</v>
      </c>
      <c r="I213" s="126">
        <f t="shared" si="28"/>
        <v>8254.85</v>
      </c>
      <c r="J213" s="70">
        <f t="shared" si="32"/>
        <v>6602.3</v>
      </c>
    </row>
    <row r="214" spans="1:10" ht="30" customHeight="1" x14ac:dyDescent="0.2">
      <c r="A214" s="63" t="s">
        <v>389</v>
      </c>
      <c r="B214" s="124" t="s">
        <v>914</v>
      </c>
      <c r="C214" s="64" t="s">
        <v>390</v>
      </c>
      <c r="D214" s="125" t="s">
        <v>168</v>
      </c>
      <c r="E214" s="65">
        <f>3+3</f>
        <v>6</v>
      </c>
      <c r="F214" s="65">
        <v>153.29</v>
      </c>
      <c r="G214" s="65">
        <f t="shared" si="27"/>
        <v>919.74</v>
      </c>
      <c r="H214" s="126">
        <f t="shared" si="30"/>
        <v>191.65</v>
      </c>
      <c r="I214" s="126">
        <f t="shared" si="28"/>
        <v>1149.95</v>
      </c>
      <c r="J214" s="70">
        <f t="shared" si="32"/>
        <v>919.74</v>
      </c>
    </row>
    <row r="215" spans="1:10" x14ac:dyDescent="0.2">
      <c r="A215" s="63" t="s">
        <v>391</v>
      </c>
      <c r="B215" s="124" t="s">
        <v>915</v>
      </c>
      <c r="C215" s="64" t="s">
        <v>1137</v>
      </c>
      <c r="D215" s="125" t="s">
        <v>168</v>
      </c>
      <c r="E215" s="65">
        <f>7+5</f>
        <v>12</v>
      </c>
      <c r="F215" s="65">
        <v>739.23</v>
      </c>
      <c r="G215" s="65">
        <f t="shared" si="27"/>
        <v>8870.76</v>
      </c>
      <c r="H215" s="126">
        <f t="shared" si="30"/>
        <v>924.25</v>
      </c>
      <c r="I215" s="126">
        <f t="shared" si="28"/>
        <v>11091.11</v>
      </c>
      <c r="J215" s="70">
        <f t="shared" si="32"/>
        <v>8870.76</v>
      </c>
    </row>
    <row r="216" spans="1:10" ht="18" customHeight="1" x14ac:dyDescent="0.2">
      <c r="A216" s="63" t="s">
        <v>392</v>
      </c>
      <c r="B216" s="124" t="s">
        <v>393</v>
      </c>
      <c r="C216" s="64" t="s">
        <v>394</v>
      </c>
      <c r="D216" s="125" t="s">
        <v>168</v>
      </c>
      <c r="E216" s="65">
        <f>10+5</f>
        <v>15</v>
      </c>
      <c r="F216" s="65">
        <v>150.85</v>
      </c>
      <c r="G216" s="65">
        <f t="shared" si="27"/>
        <v>2262.75</v>
      </c>
      <c r="H216" s="126">
        <f t="shared" si="30"/>
        <v>188.6</v>
      </c>
      <c r="I216" s="126">
        <f t="shared" si="28"/>
        <v>2829.11</v>
      </c>
      <c r="J216" s="70">
        <f t="shared" si="32"/>
        <v>2262.75</v>
      </c>
    </row>
    <row r="217" spans="1:10" ht="27.75" customHeight="1" x14ac:dyDescent="0.2">
      <c r="A217" s="63" t="s">
        <v>395</v>
      </c>
      <c r="B217" s="124" t="s">
        <v>916</v>
      </c>
      <c r="C217" s="64" t="s">
        <v>396</v>
      </c>
      <c r="D217" s="125" t="s">
        <v>168</v>
      </c>
      <c r="E217" s="65">
        <f>3+3</f>
        <v>6</v>
      </c>
      <c r="F217" s="65">
        <v>107.43</v>
      </c>
      <c r="G217" s="65">
        <f t="shared" si="27"/>
        <v>644.58000000000004</v>
      </c>
      <c r="H217" s="126">
        <f t="shared" si="30"/>
        <v>134.31</v>
      </c>
      <c r="I217" s="126">
        <f t="shared" si="28"/>
        <v>805.91</v>
      </c>
      <c r="J217" s="70">
        <f t="shared" si="32"/>
        <v>644.58000000000004</v>
      </c>
    </row>
    <row r="218" spans="1:10" ht="16.5" customHeight="1" x14ac:dyDescent="0.2">
      <c r="A218" s="63" t="s">
        <v>397</v>
      </c>
      <c r="B218" s="124" t="s">
        <v>398</v>
      </c>
      <c r="C218" s="64" t="s">
        <v>399</v>
      </c>
      <c r="D218" s="125" t="s">
        <v>168</v>
      </c>
      <c r="E218" s="65">
        <f>3+2</f>
        <v>5</v>
      </c>
      <c r="F218" s="65">
        <v>51.06</v>
      </c>
      <c r="G218" s="65">
        <f t="shared" si="27"/>
        <v>255.3</v>
      </c>
      <c r="H218" s="126">
        <f t="shared" si="30"/>
        <v>63.84</v>
      </c>
      <c r="I218" s="126">
        <f t="shared" si="28"/>
        <v>319.2</v>
      </c>
      <c r="J218" s="70">
        <f t="shared" si="32"/>
        <v>255.3</v>
      </c>
    </row>
    <row r="219" spans="1:10" x14ac:dyDescent="0.2">
      <c r="A219" s="63" t="s">
        <v>400</v>
      </c>
      <c r="B219" s="124" t="s">
        <v>401</v>
      </c>
      <c r="C219" s="64" t="s">
        <v>402</v>
      </c>
      <c r="D219" s="125" t="s">
        <v>168</v>
      </c>
      <c r="E219" s="65">
        <f>5+3</f>
        <v>8</v>
      </c>
      <c r="F219" s="65">
        <v>110.72</v>
      </c>
      <c r="G219" s="65">
        <f t="shared" si="27"/>
        <v>885.76</v>
      </c>
      <c r="H219" s="126">
        <f t="shared" si="30"/>
        <v>138.43</v>
      </c>
      <c r="I219" s="126">
        <f t="shared" si="28"/>
        <v>1107.46</v>
      </c>
      <c r="J219" s="70">
        <f t="shared" si="32"/>
        <v>885.76</v>
      </c>
    </row>
    <row r="220" spans="1:10" ht="28.5" customHeight="1" x14ac:dyDescent="0.2">
      <c r="A220" s="63" t="s">
        <v>403</v>
      </c>
      <c r="B220" s="124" t="s">
        <v>917</v>
      </c>
      <c r="C220" s="64" t="s">
        <v>404</v>
      </c>
      <c r="D220" s="125" t="s">
        <v>168</v>
      </c>
      <c r="E220" s="65">
        <f>5+3</f>
        <v>8</v>
      </c>
      <c r="F220" s="65">
        <v>75.569999999999993</v>
      </c>
      <c r="G220" s="65">
        <f t="shared" si="27"/>
        <v>604.55999999999995</v>
      </c>
      <c r="H220" s="126">
        <f t="shared" si="30"/>
        <v>94.48</v>
      </c>
      <c r="I220" s="126">
        <f t="shared" si="28"/>
        <v>755.88</v>
      </c>
      <c r="J220" s="70">
        <f t="shared" si="32"/>
        <v>604.55999999999995</v>
      </c>
    </row>
    <row r="221" spans="1:10" ht="29.25" customHeight="1" x14ac:dyDescent="0.2">
      <c r="A221" s="63" t="s">
        <v>405</v>
      </c>
      <c r="B221" s="124" t="s">
        <v>918</v>
      </c>
      <c r="C221" s="64" t="s">
        <v>406</v>
      </c>
      <c r="D221" s="125" t="s">
        <v>168</v>
      </c>
      <c r="E221" s="65">
        <f>5+3</f>
        <v>8</v>
      </c>
      <c r="F221" s="65">
        <v>68.19</v>
      </c>
      <c r="G221" s="65">
        <f t="shared" si="27"/>
        <v>545.52</v>
      </c>
      <c r="H221" s="126">
        <f t="shared" si="30"/>
        <v>85.25</v>
      </c>
      <c r="I221" s="126">
        <f t="shared" si="28"/>
        <v>682.06</v>
      </c>
      <c r="J221" s="70">
        <f t="shared" si="32"/>
        <v>545.52</v>
      </c>
    </row>
    <row r="222" spans="1:10" x14ac:dyDescent="0.2">
      <c r="A222" s="63" t="s">
        <v>407</v>
      </c>
      <c r="B222" s="124" t="s">
        <v>919</v>
      </c>
      <c r="C222" s="64" t="s">
        <v>408</v>
      </c>
      <c r="D222" s="125" t="s">
        <v>168</v>
      </c>
      <c r="E222" s="65">
        <f>3+2</f>
        <v>5</v>
      </c>
      <c r="F222" s="65">
        <v>117.17</v>
      </c>
      <c r="G222" s="65">
        <f t="shared" si="27"/>
        <v>585.85</v>
      </c>
      <c r="H222" s="126">
        <f t="shared" si="30"/>
        <v>146.49</v>
      </c>
      <c r="I222" s="126">
        <f t="shared" si="28"/>
        <v>732.48</v>
      </c>
      <c r="J222" s="70">
        <f t="shared" si="32"/>
        <v>585.85</v>
      </c>
    </row>
    <row r="223" spans="1:10" ht="28.5" customHeight="1" x14ac:dyDescent="0.2">
      <c r="A223" s="63" t="s">
        <v>409</v>
      </c>
      <c r="B223" s="124" t="s">
        <v>920</v>
      </c>
      <c r="C223" s="64" t="s">
        <v>410</v>
      </c>
      <c r="D223" s="125" t="s">
        <v>168</v>
      </c>
      <c r="E223" s="65">
        <f>3+2</f>
        <v>5</v>
      </c>
      <c r="F223" s="65">
        <v>232.93</v>
      </c>
      <c r="G223" s="65">
        <f t="shared" si="27"/>
        <v>1164.6500000000001</v>
      </c>
      <c r="H223" s="126">
        <f t="shared" si="30"/>
        <v>291.23</v>
      </c>
      <c r="I223" s="126">
        <f t="shared" si="28"/>
        <v>1456.16</v>
      </c>
      <c r="J223" s="70">
        <f t="shared" si="32"/>
        <v>1164.6500000000001</v>
      </c>
    </row>
    <row r="224" spans="1:10" ht="27.75" customHeight="1" x14ac:dyDescent="0.2">
      <c r="A224" s="63" t="s">
        <v>411</v>
      </c>
      <c r="B224" s="124" t="s">
        <v>921</v>
      </c>
      <c r="C224" s="64" t="s">
        <v>412</v>
      </c>
      <c r="D224" s="125" t="s">
        <v>168</v>
      </c>
      <c r="E224" s="65">
        <f>5+5</f>
        <v>10</v>
      </c>
      <c r="F224" s="65">
        <v>92.22</v>
      </c>
      <c r="G224" s="65">
        <f t="shared" si="27"/>
        <v>922.2</v>
      </c>
      <c r="H224" s="126">
        <f t="shared" si="30"/>
        <v>115.3</v>
      </c>
      <c r="I224" s="126">
        <f t="shared" si="28"/>
        <v>1153.02</v>
      </c>
      <c r="J224" s="70">
        <f t="shared" si="32"/>
        <v>922.2</v>
      </c>
    </row>
    <row r="225" spans="1:10" ht="18" customHeight="1" x14ac:dyDescent="0.2">
      <c r="A225" s="63" t="s">
        <v>413</v>
      </c>
      <c r="B225" s="124" t="s">
        <v>1117</v>
      </c>
      <c r="C225" s="64" t="s">
        <v>1118</v>
      </c>
      <c r="D225" s="125" t="s">
        <v>168</v>
      </c>
      <c r="E225" s="65">
        <f>21+15</f>
        <v>36</v>
      </c>
      <c r="F225" s="65">
        <v>361.33</v>
      </c>
      <c r="G225" s="65">
        <f t="shared" si="27"/>
        <v>13007.88</v>
      </c>
      <c r="H225" s="126">
        <f t="shared" si="30"/>
        <v>451.77</v>
      </c>
      <c r="I225" s="126">
        <f t="shared" si="28"/>
        <v>16263.75</v>
      </c>
      <c r="J225" s="70">
        <f t="shared" si="32"/>
        <v>13007.88</v>
      </c>
    </row>
    <row r="226" spans="1:10" x14ac:dyDescent="0.2">
      <c r="A226" s="63" t="s">
        <v>414</v>
      </c>
      <c r="B226" s="124" t="s">
        <v>922</v>
      </c>
      <c r="C226" s="64" t="s">
        <v>1135</v>
      </c>
      <c r="D226" s="125" t="s">
        <v>168</v>
      </c>
      <c r="E226" s="65">
        <f>3+3</f>
        <v>6</v>
      </c>
      <c r="F226" s="65">
        <v>103.21</v>
      </c>
      <c r="G226" s="65">
        <f t="shared" si="27"/>
        <v>619.26</v>
      </c>
      <c r="H226" s="126">
        <f t="shared" si="30"/>
        <v>129.04</v>
      </c>
      <c r="I226" s="126">
        <f t="shared" si="28"/>
        <v>774.26</v>
      </c>
      <c r="J226" s="70">
        <f t="shared" si="32"/>
        <v>619.26</v>
      </c>
    </row>
    <row r="227" spans="1:10" ht="28.5" customHeight="1" x14ac:dyDescent="0.2">
      <c r="A227" s="63" t="s">
        <v>415</v>
      </c>
      <c r="B227" s="124" t="s">
        <v>923</v>
      </c>
      <c r="C227" s="64" t="s">
        <v>416</v>
      </c>
      <c r="D227" s="125" t="s">
        <v>168</v>
      </c>
      <c r="E227" s="65">
        <f>7+5</f>
        <v>12</v>
      </c>
      <c r="F227" s="65">
        <v>83.36</v>
      </c>
      <c r="G227" s="65">
        <f t="shared" si="27"/>
        <v>1000.32</v>
      </c>
      <c r="H227" s="126">
        <f t="shared" si="30"/>
        <v>104.22</v>
      </c>
      <c r="I227" s="126">
        <f t="shared" si="28"/>
        <v>1250.7</v>
      </c>
      <c r="J227" s="70">
        <f t="shared" si="32"/>
        <v>1000.32</v>
      </c>
    </row>
    <row r="228" spans="1:10" x14ac:dyDescent="0.2">
      <c r="A228" s="63" t="s">
        <v>417</v>
      </c>
      <c r="B228" s="124" t="s">
        <v>924</v>
      </c>
      <c r="C228" s="64" t="s">
        <v>1136</v>
      </c>
      <c r="D228" s="125" t="s">
        <v>168</v>
      </c>
      <c r="E228" s="65">
        <f>33+20</f>
        <v>53</v>
      </c>
      <c r="F228" s="65">
        <v>20.65</v>
      </c>
      <c r="G228" s="65">
        <f t="shared" si="27"/>
        <v>1094.45</v>
      </c>
      <c r="H228" s="126">
        <f t="shared" si="30"/>
        <v>25.81</v>
      </c>
      <c r="I228" s="126">
        <f t="shared" si="28"/>
        <v>1368.39</v>
      </c>
      <c r="J228" s="70">
        <f t="shared" si="32"/>
        <v>1094.45</v>
      </c>
    </row>
    <row r="229" spans="1:10" ht="30" customHeight="1" x14ac:dyDescent="0.2">
      <c r="A229" s="63" t="s">
        <v>418</v>
      </c>
      <c r="B229" s="124" t="s">
        <v>925</v>
      </c>
      <c r="C229" s="64" t="s">
        <v>419</v>
      </c>
      <c r="D229" s="125" t="s">
        <v>168</v>
      </c>
      <c r="E229" s="65">
        <f>3+2</f>
        <v>5</v>
      </c>
      <c r="F229" s="65">
        <v>363.91</v>
      </c>
      <c r="G229" s="65">
        <f t="shared" si="27"/>
        <v>1819.55</v>
      </c>
      <c r="H229" s="126">
        <f t="shared" si="30"/>
        <v>454.99</v>
      </c>
      <c r="I229" s="126">
        <f t="shared" si="28"/>
        <v>2274.98</v>
      </c>
      <c r="J229" s="70">
        <f t="shared" si="32"/>
        <v>1819.55</v>
      </c>
    </row>
    <row r="230" spans="1:10" ht="38.25" x14ac:dyDescent="0.2">
      <c r="A230" s="63" t="s">
        <v>420</v>
      </c>
      <c r="B230" s="124" t="s">
        <v>421</v>
      </c>
      <c r="C230" s="64" t="s">
        <v>422</v>
      </c>
      <c r="D230" s="125" t="s">
        <v>168</v>
      </c>
      <c r="E230" s="65">
        <f>3+3</f>
        <v>6</v>
      </c>
      <c r="F230" s="65">
        <v>89.46</v>
      </c>
      <c r="G230" s="65">
        <f t="shared" si="27"/>
        <v>536.76</v>
      </c>
      <c r="H230" s="126">
        <f t="shared" si="30"/>
        <v>111.85</v>
      </c>
      <c r="I230" s="126">
        <f t="shared" si="28"/>
        <v>671.11</v>
      </c>
      <c r="J230" s="70">
        <f t="shared" si="32"/>
        <v>536.76</v>
      </c>
    </row>
    <row r="231" spans="1:10" x14ac:dyDescent="0.2">
      <c r="A231" s="63" t="s">
        <v>423</v>
      </c>
      <c r="B231" s="124" t="s">
        <v>424</v>
      </c>
      <c r="C231" s="64" t="s">
        <v>425</v>
      </c>
      <c r="D231" s="125" t="s">
        <v>168</v>
      </c>
      <c r="E231" s="65">
        <f>2+1</f>
        <v>3</v>
      </c>
      <c r="F231" s="65">
        <v>323.7</v>
      </c>
      <c r="G231" s="65">
        <f t="shared" si="27"/>
        <v>971.1</v>
      </c>
      <c r="H231" s="126">
        <f t="shared" si="30"/>
        <v>404.72</v>
      </c>
      <c r="I231" s="126">
        <f t="shared" si="28"/>
        <v>1214.1600000000001</v>
      </c>
      <c r="J231" s="70">
        <f t="shared" si="32"/>
        <v>971.1</v>
      </c>
    </row>
    <row r="232" spans="1:10" x14ac:dyDescent="0.2">
      <c r="A232" s="63" t="s">
        <v>426</v>
      </c>
      <c r="B232" s="124" t="s">
        <v>427</v>
      </c>
      <c r="C232" s="64" t="s">
        <v>428</v>
      </c>
      <c r="D232" s="125" t="s">
        <v>168</v>
      </c>
      <c r="E232" s="65">
        <f>2+1</f>
        <v>3</v>
      </c>
      <c r="F232" s="65">
        <v>752.69</v>
      </c>
      <c r="G232" s="65">
        <f t="shared" si="27"/>
        <v>2258.0700000000002</v>
      </c>
      <c r="H232" s="126">
        <f t="shared" si="30"/>
        <v>941.08</v>
      </c>
      <c r="I232" s="126">
        <f t="shared" si="28"/>
        <v>2823.26</v>
      </c>
      <c r="J232" s="70">
        <f t="shared" si="32"/>
        <v>2258.0700000000002</v>
      </c>
    </row>
    <row r="233" spans="1:10" x14ac:dyDescent="0.2">
      <c r="A233" s="63" t="s">
        <v>429</v>
      </c>
      <c r="B233" s="124" t="s">
        <v>926</v>
      </c>
      <c r="C233" s="64" t="s">
        <v>1138</v>
      </c>
      <c r="D233" s="125" t="s">
        <v>168</v>
      </c>
      <c r="E233" s="65">
        <f>3+1</f>
        <v>4</v>
      </c>
      <c r="F233" s="65">
        <v>746.22</v>
      </c>
      <c r="G233" s="65">
        <f t="shared" si="27"/>
        <v>2984.88</v>
      </c>
      <c r="H233" s="126">
        <f t="shared" si="30"/>
        <v>932.99</v>
      </c>
      <c r="I233" s="126">
        <f t="shared" si="28"/>
        <v>3731.99</v>
      </c>
      <c r="J233" s="70">
        <f t="shared" si="32"/>
        <v>2984.88</v>
      </c>
    </row>
    <row r="234" spans="1:10" ht="30.75" customHeight="1" x14ac:dyDescent="0.2">
      <c r="A234" s="63" t="s">
        <v>430</v>
      </c>
      <c r="B234" s="124" t="s">
        <v>927</v>
      </c>
      <c r="C234" s="64" t="s">
        <v>431</v>
      </c>
      <c r="D234" s="125" t="s">
        <v>168</v>
      </c>
      <c r="E234" s="65">
        <f>7+5</f>
        <v>12</v>
      </c>
      <c r="F234" s="65">
        <v>74.64</v>
      </c>
      <c r="G234" s="65">
        <f t="shared" si="27"/>
        <v>895.68</v>
      </c>
      <c r="H234" s="126">
        <f t="shared" si="30"/>
        <v>93.32</v>
      </c>
      <c r="I234" s="126">
        <f t="shared" si="28"/>
        <v>1119.8599999999999</v>
      </c>
      <c r="J234" s="70">
        <f t="shared" si="32"/>
        <v>895.68</v>
      </c>
    </row>
    <row r="235" spans="1:10" ht="17.25" customHeight="1" x14ac:dyDescent="0.2">
      <c r="A235" s="63" t="s">
        <v>432</v>
      </c>
      <c r="B235" s="124" t="s">
        <v>433</v>
      </c>
      <c r="C235" s="64" t="s">
        <v>434</v>
      </c>
      <c r="D235" s="125" t="s">
        <v>168</v>
      </c>
      <c r="E235" s="65">
        <f>9+9</f>
        <v>18</v>
      </c>
      <c r="F235" s="65">
        <v>34.32</v>
      </c>
      <c r="G235" s="65">
        <f t="shared" si="27"/>
        <v>617.76</v>
      </c>
      <c r="H235" s="126">
        <f t="shared" si="30"/>
        <v>42.91</v>
      </c>
      <c r="I235" s="126">
        <f t="shared" si="28"/>
        <v>772.38</v>
      </c>
      <c r="J235" s="70">
        <f t="shared" si="32"/>
        <v>617.76</v>
      </c>
    </row>
    <row r="236" spans="1:10" ht="17.25" customHeight="1" x14ac:dyDescent="0.2">
      <c r="A236" s="63" t="s">
        <v>435</v>
      </c>
      <c r="B236" s="124" t="s">
        <v>436</v>
      </c>
      <c r="C236" s="64" t="s">
        <v>437</v>
      </c>
      <c r="D236" s="125" t="s">
        <v>168</v>
      </c>
      <c r="E236" s="65">
        <f>15+15</f>
        <v>30</v>
      </c>
      <c r="F236" s="65">
        <v>20.3</v>
      </c>
      <c r="G236" s="65">
        <f t="shared" si="27"/>
        <v>609</v>
      </c>
      <c r="H236" s="126">
        <f t="shared" si="30"/>
        <v>25.38</v>
      </c>
      <c r="I236" s="126">
        <f t="shared" si="28"/>
        <v>761.43</v>
      </c>
      <c r="J236" s="70">
        <f t="shared" si="32"/>
        <v>609</v>
      </c>
    </row>
    <row r="237" spans="1:10" x14ac:dyDescent="0.2">
      <c r="A237" s="127" t="s">
        <v>438</v>
      </c>
      <c r="B237" s="128"/>
      <c r="C237" s="66" t="s">
        <v>1048</v>
      </c>
      <c r="D237" s="66"/>
      <c r="E237" s="141"/>
      <c r="F237" s="143">
        <f>SUM(F238:F257)</f>
        <v>1227.9100000000001</v>
      </c>
      <c r="G237" s="143">
        <f>SUM(G238:G257)</f>
        <v>8960.98</v>
      </c>
      <c r="H237" s="129">
        <f>SUM(H238:H257)</f>
        <v>1535.16</v>
      </c>
      <c r="I237" s="129">
        <f>SUM(I238:I257)</f>
        <v>11203.819999999998</v>
      </c>
      <c r="J237" s="75">
        <f>SUM(J238:J257)</f>
        <v>8960.98</v>
      </c>
    </row>
    <row r="238" spans="1:10" ht="29.25" customHeight="1" x14ac:dyDescent="0.2">
      <c r="A238" s="63" t="s">
        <v>439</v>
      </c>
      <c r="B238" s="124" t="s">
        <v>928</v>
      </c>
      <c r="C238" s="64" t="s">
        <v>440</v>
      </c>
      <c r="D238" s="125" t="s">
        <v>267</v>
      </c>
      <c r="E238" s="65">
        <f>14+7.8</f>
        <v>21.8</v>
      </c>
      <c r="F238" s="65">
        <v>4.6900000000000004</v>
      </c>
      <c r="G238" s="65">
        <f t="shared" si="27"/>
        <v>102.24</v>
      </c>
      <c r="H238" s="126">
        <f t="shared" si="30"/>
        <v>5.86</v>
      </c>
      <c r="I238" s="126">
        <f t="shared" si="28"/>
        <v>127.83</v>
      </c>
      <c r="J238" s="70">
        <f>TRUNC(F238 * E238, 2)</f>
        <v>102.24</v>
      </c>
    </row>
    <row r="239" spans="1:10" ht="29.25" customHeight="1" x14ac:dyDescent="0.2">
      <c r="A239" s="63" t="s">
        <v>441</v>
      </c>
      <c r="B239" s="124" t="s">
        <v>929</v>
      </c>
      <c r="C239" s="64" t="s">
        <v>442</v>
      </c>
      <c r="D239" s="125" t="s">
        <v>267</v>
      </c>
      <c r="E239" s="65">
        <f>6+3.1</f>
        <v>9.1</v>
      </c>
      <c r="F239" s="65">
        <v>14.44</v>
      </c>
      <c r="G239" s="65">
        <f t="shared" si="27"/>
        <v>131.4</v>
      </c>
      <c r="H239" s="126">
        <f t="shared" si="30"/>
        <v>18.05</v>
      </c>
      <c r="I239" s="126">
        <f t="shared" si="28"/>
        <v>164.28</v>
      </c>
      <c r="J239" s="70">
        <f t="shared" ref="J239:J257" si="33">TRUNC(F239 * E239, 2)</f>
        <v>131.4</v>
      </c>
    </row>
    <row r="240" spans="1:10" ht="30" customHeight="1" x14ac:dyDescent="0.2">
      <c r="A240" s="63" t="s">
        <v>443</v>
      </c>
      <c r="B240" s="124" t="s">
        <v>930</v>
      </c>
      <c r="C240" s="64" t="s">
        <v>444</v>
      </c>
      <c r="D240" s="125" t="s">
        <v>267</v>
      </c>
      <c r="E240" s="65">
        <f>6+3.1</f>
        <v>9.1</v>
      </c>
      <c r="F240" s="65">
        <v>15.96</v>
      </c>
      <c r="G240" s="65">
        <f t="shared" ref="G240:G303" si="34">TRUNC(E240*F240,2)</f>
        <v>145.22999999999999</v>
      </c>
      <c r="H240" s="126">
        <f t="shared" si="30"/>
        <v>19.95</v>
      </c>
      <c r="I240" s="126">
        <f t="shared" ref="I240:I303" si="35">TRUNC(G240*(1+I$8),2)</f>
        <v>181.58</v>
      </c>
      <c r="J240" s="70">
        <f t="shared" si="33"/>
        <v>145.22999999999999</v>
      </c>
    </row>
    <row r="241" spans="1:10" ht="28.5" customHeight="1" x14ac:dyDescent="0.2">
      <c r="A241" s="63" t="s">
        <v>445</v>
      </c>
      <c r="B241" s="124" t="s">
        <v>931</v>
      </c>
      <c r="C241" s="64" t="s">
        <v>446</v>
      </c>
      <c r="D241" s="125" t="s">
        <v>168</v>
      </c>
      <c r="E241" s="65">
        <f>6+7</f>
        <v>13</v>
      </c>
      <c r="F241" s="65">
        <v>10.32</v>
      </c>
      <c r="G241" s="65">
        <f t="shared" si="34"/>
        <v>134.16</v>
      </c>
      <c r="H241" s="126">
        <f t="shared" si="30"/>
        <v>12.9</v>
      </c>
      <c r="I241" s="126">
        <f t="shared" si="35"/>
        <v>167.74</v>
      </c>
      <c r="J241" s="70">
        <f t="shared" si="33"/>
        <v>134.16</v>
      </c>
    </row>
    <row r="242" spans="1:10" ht="28.5" customHeight="1" x14ac:dyDescent="0.2">
      <c r="A242" s="63" t="s">
        <v>447</v>
      </c>
      <c r="B242" s="124" t="s">
        <v>932</v>
      </c>
      <c r="C242" s="64" t="s">
        <v>448</v>
      </c>
      <c r="D242" s="125" t="s">
        <v>168</v>
      </c>
      <c r="E242" s="65">
        <f t="shared" ref="E242:E247" si="36">3+3</f>
        <v>6</v>
      </c>
      <c r="F242" s="65">
        <v>9.59</v>
      </c>
      <c r="G242" s="65">
        <f t="shared" si="34"/>
        <v>57.54</v>
      </c>
      <c r="H242" s="126">
        <f t="shared" si="30"/>
        <v>11.99</v>
      </c>
      <c r="I242" s="126">
        <f t="shared" si="35"/>
        <v>71.94</v>
      </c>
      <c r="J242" s="70">
        <f t="shared" si="33"/>
        <v>57.54</v>
      </c>
    </row>
    <row r="243" spans="1:10" ht="29.25" customHeight="1" x14ac:dyDescent="0.2">
      <c r="A243" s="63" t="s">
        <v>449</v>
      </c>
      <c r="B243" s="124" t="s">
        <v>933</v>
      </c>
      <c r="C243" s="64" t="s">
        <v>450</v>
      </c>
      <c r="D243" s="125" t="s">
        <v>168</v>
      </c>
      <c r="E243" s="65">
        <f t="shared" si="36"/>
        <v>6</v>
      </c>
      <c r="F243" s="65">
        <v>13.61</v>
      </c>
      <c r="G243" s="65">
        <f t="shared" si="34"/>
        <v>81.66</v>
      </c>
      <c r="H243" s="126">
        <f t="shared" si="30"/>
        <v>17.010000000000002</v>
      </c>
      <c r="I243" s="126">
        <f t="shared" si="35"/>
        <v>102.09</v>
      </c>
      <c r="J243" s="70">
        <f t="shared" si="33"/>
        <v>81.66</v>
      </c>
    </row>
    <row r="244" spans="1:10" ht="27.75" customHeight="1" x14ac:dyDescent="0.2">
      <c r="A244" s="63" t="s">
        <v>451</v>
      </c>
      <c r="B244" s="124" t="s">
        <v>934</v>
      </c>
      <c r="C244" s="64" t="s">
        <v>452</v>
      </c>
      <c r="D244" s="125" t="s">
        <v>168</v>
      </c>
      <c r="E244" s="65">
        <f t="shared" si="36"/>
        <v>6</v>
      </c>
      <c r="F244" s="65">
        <v>18.489999999999998</v>
      </c>
      <c r="G244" s="65">
        <f t="shared" si="34"/>
        <v>110.94</v>
      </c>
      <c r="H244" s="126">
        <f t="shared" si="30"/>
        <v>23.11</v>
      </c>
      <c r="I244" s="126">
        <f t="shared" si="35"/>
        <v>138.69999999999999</v>
      </c>
      <c r="J244" s="70">
        <f t="shared" si="33"/>
        <v>110.94</v>
      </c>
    </row>
    <row r="245" spans="1:10" ht="30" customHeight="1" x14ac:dyDescent="0.2">
      <c r="A245" s="63" t="s">
        <v>453</v>
      </c>
      <c r="B245" s="124" t="s">
        <v>935</v>
      </c>
      <c r="C245" s="64" t="s">
        <v>454</v>
      </c>
      <c r="D245" s="125" t="s">
        <v>168</v>
      </c>
      <c r="E245" s="65">
        <f t="shared" si="36"/>
        <v>6</v>
      </c>
      <c r="F245" s="65">
        <v>23.94</v>
      </c>
      <c r="G245" s="65">
        <f t="shared" si="34"/>
        <v>143.63999999999999</v>
      </c>
      <c r="H245" s="126">
        <f t="shared" si="30"/>
        <v>29.93</v>
      </c>
      <c r="I245" s="126">
        <f t="shared" si="35"/>
        <v>179.59</v>
      </c>
      <c r="J245" s="70">
        <f t="shared" si="33"/>
        <v>143.63999999999999</v>
      </c>
    </row>
    <row r="246" spans="1:10" ht="28.5" customHeight="1" x14ac:dyDescent="0.2">
      <c r="A246" s="63" t="s">
        <v>455</v>
      </c>
      <c r="B246" s="124" t="s">
        <v>936</v>
      </c>
      <c r="C246" s="64" t="s">
        <v>456</v>
      </c>
      <c r="D246" s="125" t="s">
        <v>168</v>
      </c>
      <c r="E246" s="65">
        <f t="shared" si="36"/>
        <v>6</v>
      </c>
      <c r="F246" s="65">
        <v>10.84</v>
      </c>
      <c r="G246" s="65">
        <f t="shared" si="34"/>
        <v>65.040000000000006</v>
      </c>
      <c r="H246" s="126">
        <f t="shared" si="30"/>
        <v>13.55</v>
      </c>
      <c r="I246" s="126">
        <f t="shared" si="35"/>
        <v>81.31</v>
      </c>
      <c r="J246" s="70">
        <f t="shared" si="33"/>
        <v>65.040000000000006</v>
      </c>
    </row>
    <row r="247" spans="1:10" ht="30" customHeight="1" x14ac:dyDescent="0.2">
      <c r="A247" s="63" t="s">
        <v>457</v>
      </c>
      <c r="B247" s="124" t="s">
        <v>937</v>
      </c>
      <c r="C247" s="64" t="s">
        <v>458</v>
      </c>
      <c r="D247" s="125" t="s">
        <v>168</v>
      </c>
      <c r="E247" s="65">
        <f t="shared" si="36"/>
        <v>6</v>
      </c>
      <c r="F247" s="65">
        <v>11.58</v>
      </c>
      <c r="G247" s="65">
        <f t="shared" si="34"/>
        <v>69.48</v>
      </c>
      <c r="H247" s="126">
        <f t="shared" si="30"/>
        <v>14.47</v>
      </c>
      <c r="I247" s="126">
        <f t="shared" si="35"/>
        <v>86.87</v>
      </c>
      <c r="J247" s="70">
        <f t="shared" si="33"/>
        <v>69.48</v>
      </c>
    </row>
    <row r="248" spans="1:10" ht="27.75" customHeight="1" x14ac:dyDescent="0.2">
      <c r="A248" s="63" t="s">
        <v>459</v>
      </c>
      <c r="B248" s="124" t="s">
        <v>938</v>
      </c>
      <c r="C248" s="64" t="s">
        <v>460</v>
      </c>
      <c r="D248" s="125" t="s">
        <v>168</v>
      </c>
      <c r="E248" s="65">
        <f>5+5</f>
        <v>10</v>
      </c>
      <c r="F248" s="65">
        <v>12.22</v>
      </c>
      <c r="G248" s="65">
        <f t="shared" si="34"/>
        <v>122.2</v>
      </c>
      <c r="H248" s="126">
        <f t="shared" si="30"/>
        <v>15.27</v>
      </c>
      <c r="I248" s="126">
        <f t="shared" si="35"/>
        <v>152.78</v>
      </c>
      <c r="J248" s="70">
        <f t="shared" si="33"/>
        <v>122.2</v>
      </c>
    </row>
    <row r="249" spans="1:10" ht="27" customHeight="1" x14ac:dyDescent="0.2">
      <c r="A249" s="63" t="s">
        <v>461</v>
      </c>
      <c r="B249" s="124" t="s">
        <v>939</v>
      </c>
      <c r="C249" s="64" t="s">
        <v>462</v>
      </c>
      <c r="D249" s="125" t="s">
        <v>168</v>
      </c>
      <c r="E249" s="65">
        <f>3+5</f>
        <v>8</v>
      </c>
      <c r="F249" s="65">
        <v>7.86</v>
      </c>
      <c r="G249" s="65">
        <f t="shared" si="34"/>
        <v>62.88</v>
      </c>
      <c r="H249" s="126">
        <f t="shared" si="30"/>
        <v>9.82</v>
      </c>
      <c r="I249" s="126">
        <f t="shared" si="35"/>
        <v>78.61</v>
      </c>
      <c r="J249" s="70">
        <f t="shared" si="33"/>
        <v>62.88</v>
      </c>
    </row>
    <row r="250" spans="1:10" ht="30" customHeight="1" x14ac:dyDescent="0.2">
      <c r="A250" s="63" t="s">
        <v>463</v>
      </c>
      <c r="B250" s="124" t="s">
        <v>940</v>
      </c>
      <c r="C250" s="64" t="s">
        <v>464</v>
      </c>
      <c r="D250" s="125" t="s">
        <v>168</v>
      </c>
      <c r="E250" s="65">
        <f>9+7</f>
        <v>16</v>
      </c>
      <c r="F250" s="65">
        <v>4.96</v>
      </c>
      <c r="G250" s="65">
        <f t="shared" si="34"/>
        <v>79.36</v>
      </c>
      <c r="H250" s="126">
        <f t="shared" si="30"/>
        <v>6.2</v>
      </c>
      <c r="I250" s="126">
        <f t="shared" si="35"/>
        <v>99.22</v>
      </c>
      <c r="J250" s="70">
        <f t="shared" si="33"/>
        <v>79.36</v>
      </c>
    </row>
    <row r="251" spans="1:10" ht="30" customHeight="1" x14ac:dyDescent="0.2">
      <c r="A251" s="63" t="s">
        <v>465</v>
      </c>
      <c r="B251" s="124" t="s">
        <v>941</v>
      </c>
      <c r="C251" s="64" t="s">
        <v>466</v>
      </c>
      <c r="D251" s="125" t="s">
        <v>168</v>
      </c>
      <c r="E251" s="65">
        <f>7+9</f>
        <v>16</v>
      </c>
      <c r="F251" s="65">
        <v>5.23</v>
      </c>
      <c r="G251" s="65">
        <f t="shared" si="34"/>
        <v>83.68</v>
      </c>
      <c r="H251" s="126">
        <f t="shared" si="30"/>
        <v>6.53</v>
      </c>
      <c r="I251" s="126">
        <f t="shared" si="35"/>
        <v>104.62</v>
      </c>
      <c r="J251" s="70">
        <f t="shared" si="33"/>
        <v>83.68</v>
      </c>
    </row>
    <row r="252" spans="1:10" ht="40.5" customHeight="1" x14ac:dyDescent="0.2">
      <c r="A252" s="63" t="s">
        <v>467</v>
      </c>
      <c r="B252" s="124" t="s">
        <v>942</v>
      </c>
      <c r="C252" s="64" t="s">
        <v>468</v>
      </c>
      <c r="D252" s="125" t="s">
        <v>168</v>
      </c>
      <c r="E252" s="65">
        <f>7+9</f>
        <v>16</v>
      </c>
      <c r="F252" s="65">
        <v>34.08</v>
      </c>
      <c r="G252" s="65">
        <f t="shared" si="34"/>
        <v>545.28</v>
      </c>
      <c r="H252" s="126">
        <f t="shared" ref="H252:H315" si="37">TRUNC(F252*(1+I$8),2)</f>
        <v>42.61</v>
      </c>
      <c r="I252" s="126">
        <f t="shared" si="35"/>
        <v>681.76</v>
      </c>
      <c r="J252" s="70">
        <f t="shared" si="33"/>
        <v>545.28</v>
      </c>
    </row>
    <row r="253" spans="1:10" ht="30.75" customHeight="1" x14ac:dyDescent="0.2">
      <c r="A253" s="63" t="s">
        <v>469</v>
      </c>
      <c r="B253" s="124" t="s">
        <v>943</v>
      </c>
      <c r="C253" s="64" t="s">
        <v>1056</v>
      </c>
      <c r="D253" s="125" t="s">
        <v>168</v>
      </c>
      <c r="E253" s="65">
        <f>3+3</f>
        <v>6</v>
      </c>
      <c r="F253" s="65">
        <v>9.41</v>
      </c>
      <c r="G253" s="65">
        <f t="shared" si="34"/>
        <v>56.46</v>
      </c>
      <c r="H253" s="126">
        <f t="shared" si="37"/>
        <v>11.76</v>
      </c>
      <c r="I253" s="126">
        <f t="shared" si="35"/>
        <v>70.59</v>
      </c>
      <c r="J253" s="70">
        <f t="shared" si="33"/>
        <v>56.46</v>
      </c>
    </row>
    <row r="254" spans="1:10" x14ac:dyDescent="0.2">
      <c r="A254" s="63" t="s">
        <v>470</v>
      </c>
      <c r="B254" s="124" t="s">
        <v>944</v>
      </c>
      <c r="C254" s="64" t="s">
        <v>471</v>
      </c>
      <c r="D254" s="125" t="s">
        <v>168</v>
      </c>
      <c r="E254" s="65">
        <f>3+3</f>
        <v>6</v>
      </c>
      <c r="F254" s="65">
        <v>282.73</v>
      </c>
      <c r="G254" s="65">
        <f t="shared" si="34"/>
        <v>1696.38</v>
      </c>
      <c r="H254" s="126">
        <f t="shared" si="37"/>
        <v>353.49</v>
      </c>
      <c r="I254" s="126">
        <f t="shared" si="35"/>
        <v>2120.98</v>
      </c>
      <c r="J254" s="70">
        <f t="shared" si="33"/>
        <v>1696.38</v>
      </c>
    </row>
    <row r="255" spans="1:10" ht="41.25" customHeight="1" x14ac:dyDescent="0.2">
      <c r="A255" s="63" t="s">
        <v>472</v>
      </c>
      <c r="B255" s="124" t="s">
        <v>473</v>
      </c>
      <c r="C255" s="64" t="s">
        <v>474</v>
      </c>
      <c r="D255" s="125" t="s">
        <v>168</v>
      </c>
      <c r="E255" s="65">
        <f>2+3</f>
        <v>5</v>
      </c>
      <c r="F255" s="65">
        <v>627.46</v>
      </c>
      <c r="G255" s="65">
        <f t="shared" si="34"/>
        <v>3137.3</v>
      </c>
      <c r="H255" s="126">
        <f t="shared" si="37"/>
        <v>784.51</v>
      </c>
      <c r="I255" s="126">
        <f t="shared" si="35"/>
        <v>3922.56</v>
      </c>
      <c r="J255" s="70">
        <f t="shared" si="33"/>
        <v>3137.3</v>
      </c>
    </row>
    <row r="256" spans="1:10" ht="16.5" customHeight="1" x14ac:dyDescent="0.2">
      <c r="A256" s="63" t="s">
        <v>475</v>
      </c>
      <c r="B256" s="124" t="s">
        <v>945</v>
      </c>
      <c r="C256" s="64" t="s">
        <v>476</v>
      </c>
      <c r="D256" s="125" t="s">
        <v>9</v>
      </c>
      <c r="E256" s="65">
        <f>14+7.8</f>
        <v>21.8</v>
      </c>
      <c r="F256" s="65">
        <v>68.790000000000006</v>
      </c>
      <c r="G256" s="65">
        <f t="shared" si="34"/>
        <v>1499.62</v>
      </c>
      <c r="H256" s="126">
        <f t="shared" si="37"/>
        <v>86</v>
      </c>
      <c r="I256" s="126">
        <f t="shared" si="35"/>
        <v>1874.97</v>
      </c>
      <c r="J256" s="70">
        <f t="shared" si="33"/>
        <v>1499.62</v>
      </c>
    </row>
    <row r="257" spans="1:10" ht="18.75" customHeight="1" x14ac:dyDescent="0.2">
      <c r="A257" s="63" t="s">
        <v>477</v>
      </c>
      <c r="B257" s="124" t="s">
        <v>946</v>
      </c>
      <c r="C257" s="64" t="s">
        <v>478</v>
      </c>
      <c r="D257" s="125" t="s">
        <v>9</v>
      </c>
      <c r="E257" s="65">
        <f>9.8+5.46</f>
        <v>15.260000000000002</v>
      </c>
      <c r="F257" s="65">
        <v>41.71</v>
      </c>
      <c r="G257" s="65">
        <f t="shared" si="34"/>
        <v>636.49</v>
      </c>
      <c r="H257" s="126">
        <f t="shared" si="37"/>
        <v>52.15</v>
      </c>
      <c r="I257" s="126">
        <f t="shared" si="35"/>
        <v>795.8</v>
      </c>
      <c r="J257" s="70">
        <f t="shared" si="33"/>
        <v>636.49</v>
      </c>
    </row>
    <row r="258" spans="1:10" x14ac:dyDescent="0.2">
      <c r="A258" s="127" t="s">
        <v>479</v>
      </c>
      <c r="B258" s="128"/>
      <c r="C258" s="66" t="s">
        <v>480</v>
      </c>
      <c r="D258" s="66"/>
      <c r="E258" s="141"/>
      <c r="F258" s="143">
        <f>SUM(F259:F289)</f>
        <v>2723.12</v>
      </c>
      <c r="G258" s="143">
        <f>SUM(G259:G289)</f>
        <v>22334.229999999996</v>
      </c>
      <c r="H258" s="129">
        <f>SUM(H259:H289)</f>
        <v>3404.55</v>
      </c>
      <c r="I258" s="129">
        <f>SUM(I259:I289)</f>
        <v>27924.34</v>
      </c>
      <c r="J258" s="75">
        <f>SUM(J259:J289)</f>
        <v>22334.229999999996</v>
      </c>
    </row>
    <row r="259" spans="1:10" ht="30" customHeight="1" x14ac:dyDescent="0.2">
      <c r="A259" s="63" t="s">
        <v>481</v>
      </c>
      <c r="B259" s="124" t="s">
        <v>947</v>
      </c>
      <c r="C259" s="64" t="s">
        <v>482</v>
      </c>
      <c r="D259" s="125" t="s">
        <v>267</v>
      </c>
      <c r="E259" s="65">
        <f>18+7.8</f>
        <v>25.8</v>
      </c>
      <c r="F259" s="65">
        <v>17.53</v>
      </c>
      <c r="G259" s="65">
        <f t="shared" si="34"/>
        <v>452.27</v>
      </c>
      <c r="H259" s="126">
        <f t="shared" si="37"/>
        <v>21.91</v>
      </c>
      <c r="I259" s="126">
        <f t="shared" si="35"/>
        <v>565.47</v>
      </c>
      <c r="J259" s="70">
        <f>TRUNC(F259 * E259, 2)</f>
        <v>452.27</v>
      </c>
    </row>
    <row r="260" spans="1:10" ht="28.5" customHeight="1" x14ac:dyDescent="0.2">
      <c r="A260" s="63" t="s">
        <v>483</v>
      </c>
      <c r="B260" s="124" t="s">
        <v>948</v>
      </c>
      <c r="C260" s="64" t="s">
        <v>484</v>
      </c>
      <c r="D260" s="125" t="s">
        <v>267</v>
      </c>
      <c r="E260" s="65">
        <f>12+6.25</f>
        <v>18.25</v>
      </c>
      <c r="F260" s="65">
        <v>22.42</v>
      </c>
      <c r="G260" s="65">
        <f t="shared" si="34"/>
        <v>409.16</v>
      </c>
      <c r="H260" s="126">
        <f t="shared" si="37"/>
        <v>28.03</v>
      </c>
      <c r="I260" s="126">
        <f t="shared" si="35"/>
        <v>511.57</v>
      </c>
      <c r="J260" s="70">
        <f t="shared" ref="J260:J289" si="38">TRUNC(F260 * E260, 2)</f>
        <v>409.16</v>
      </c>
    </row>
    <row r="261" spans="1:10" ht="30.75" customHeight="1" x14ac:dyDescent="0.2">
      <c r="A261" s="63" t="s">
        <v>485</v>
      </c>
      <c r="B261" s="124" t="s">
        <v>949</v>
      </c>
      <c r="C261" s="64" t="s">
        <v>486</v>
      </c>
      <c r="D261" s="125" t="s">
        <v>267</v>
      </c>
      <c r="E261" s="65">
        <f>6+3.1</f>
        <v>9.1</v>
      </c>
      <c r="F261" s="65">
        <v>27.98</v>
      </c>
      <c r="G261" s="65">
        <f t="shared" si="34"/>
        <v>254.61</v>
      </c>
      <c r="H261" s="126">
        <f t="shared" si="37"/>
        <v>34.979999999999997</v>
      </c>
      <c r="I261" s="126">
        <f t="shared" si="35"/>
        <v>318.33</v>
      </c>
      <c r="J261" s="70">
        <f t="shared" si="38"/>
        <v>254.61</v>
      </c>
    </row>
    <row r="262" spans="1:10" ht="27.75" customHeight="1" x14ac:dyDescent="0.2">
      <c r="A262" s="63" t="s">
        <v>487</v>
      </c>
      <c r="B262" s="124" t="s">
        <v>950</v>
      </c>
      <c r="C262" s="64" t="s">
        <v>488</v>
      </c>
      <c r="D262" s="125" t="s">
        <v>267</v>
      </c>
      <c r="E262" s="65">
        <f>72+38.95</f>
        <v>110.95</v>
      </c>
      <c r="F262" s="65">
        <v>31.2</v>
      </c>
      <c r="G262" s="65">
        <f t="shared" si="34"/>
        <v>3461.64</v>
      </c>
      <c r="H262" s="126">
        <f t="shared" si="37"/>
        <v>39</v>
      </c>
      <c r="I262" s="126">
        <f t="shared" si="35"/>
        <v>4328.08</v>
      </c>
      <c r="J262" s="70">
        <f t="shared" si="38"/>
        <v>3461.64</v>
      </c>
    </row>
    <row r="263" spans="1:10" ht="40.5" customHeight="1" x14ac:dyDescent="0.2">
      <c r="A263" s="63" t="s">
        <v>489</v>
      </c>
      <c r="B263" s="124" t="s">
        <v>951</v>
      </c>
      <c r="C263" s="64" t="s">
        <v>490</v>
      </c>
      <c r="D263" s="125" t="s">
        <v>168</v>
      </c>
      <c r="E263" s="65">
        <f>9+7</f>
        <v>16</v>
      </c>
      <c r="F263" s="65">
        <v>8.15</v>
      </c>
      <c r="G263" s="65">
        <f t="shared" si="34"/>
        <v>130.4</v>
      </c>
      <c r="H263" s="126">
        <f t="shared" si="37"/>
        <v>10.18</v>
      </c>
      <c r="I263" s="126">
        <f t="shared" si="35"/>
        <v>163.03</v>
      </c>
      <c r="J263" s="70">
        <f t="shared" si="38"/>
        <v>130.4</v>
      </c>
    </row>
    <row r="264" spans="1:10" ht="37.5" customHeight="1" x14ac:dyDescent="0.2">
      <c r="A264" s="63" t="s">
        <v>491</v>
      </c>
      <c r="B264" s="124" t="s">
        <v>952</v>
      </c>
      <c r="C264" s="64" t="s">
        <v>492</v>
      </c>
      <c r="D264" s="125" t="s">
        <v>168</v>
      </c>
      <c r="E264" s="65">
        <f>3+3</f>
        <v>6</v>
      </c>
      <c r="F264" s="65">
        <v>8.35</v>
      </c>
      <c r="G264" s="65">
        <f t="shared" si="34"/>
        <v>50.1</v>
      </c>
      <c r="H264" s="126">
        <f t="shared" si="37"/>
        <v>10.44</v>
      </c>
      <c r="I264" s="126">
        <f t="shared" si="35"/>
        <v>62.64</v>
      </c>
      <c r="J264" s="70">
        <f t="shared" si="38"/>
        <v>50.1</v>
      </c>
    </row>
    <row r="265" spans="1:10" ht="38.25" customHeight="1" x14ac:dyDescent="0.2">
      <c r="A265" s="63" t="s">
        <v>493</v>
      </c>
      <c r="B265" s="124" t="s">
        <v>953</v>
      </c>
      <c r="C265" s="64" t="s">
        <v>494</v>
      </c>
      <c r="D265" s="125" t="s">
        <v>168</v>
      </c>
      <c r="E265" s="65">
        <f>3+3</f>
        <v>6</v>
      </c>
      <c r="F265" s="65">
        <v>14.13</v>
      </c>
      <c r="G265" s="65">
        <f t="shared" si="34"/>
        <v>84.78</v>
      </c>
      <c r="H265" s="126">
        <f t="shared" si="37"/>
        <v>17.66</v>
      </c>
      <c r="I265" s="126">
        <f t="shared" si="35"/>
        <v>106</v>
      </c>
      <c r="J265" s="70">
        <f t="shared" si="38"/>
        <v>84.78</v>
      </c>
    </row>
    <row r="266" spans="1:10" ht="39" customHeight="1" x14ac:dyDescent="0.2">
      <c r="A266" s="63" t="s">
        <v>495</v>
      </c>
      <c r="B266" s="124" t="s">
        <v>954</v>
      </c>
      <c r="C266" s="64" t="s">
        <v>496</v>
      </c>
      <c r="D266" s="125" t="s">
        <v>168</v>
      </c>
      <c r="E266" s="65">
        <f>3+3</f>
        <v>6</v>
      </c>
      <c r="F266" s="65">
        <v>21.37</v>
      </c>
      <c r="G266" s="65">
        <f t="shared" si="34"/>
        <v>128.22</v>
      </c>
      <c r="H266" s="126">
        <f t="shared" si="37"/>
        <v>26.71</v>
      </c>
      <c r="I266" s="126">
        <f t="shared" si="35"/>
        <v>160.31</v>
      </c>
      <c r="J266" s="70">
        <f t="shared" si="38"/>
        <v>128.22</v>
      </c>
    </row>
    <row r="267" spans="1:10" ht="35.25" customHeight="1" x14ac:dyDescent="0.2">
      <c r="A267" s="63" t="s">
        <v>497</v>
      </c>
      <c r="B267" s="124" t="s">
        <v>955</v>
      </c>
      <c r="C267" s="64" t="s">
        <v>498</v>
      </c>
      <c r="D267" s="125" t="s">
        <v>168</v>
      </c>
      <c r="E267" s="65">
        <f>9+7</f>
        <v>16</v>
      </c>
      <c r="F267" s="65">
        <v>24.94</v>
      </c>
      <c r="G267" s="65">
        <f t="shared" si="34"/>
        <v>399.04</v>
      </c>
      <c r="H267" s="126">
        <f t="shared" si="37"/>
        <v>31.18</v>
      </c>
      <c r="I267" s="126">
        <f t="shared" si="35"/>
        <v>498.91</v>
      </c>
      <c r="J267" s="70">
        <f t="shared" si="38"/>
        <v>399.04</v>
      </c>
    </row>
    <row r="268" spans="1:10" ht="35.25" customHeight="1" x14ac:dyDescent="0.2">
      <c r="A268" s="63" t="s">
        <v>499</v>
      </c>
      <c r="B268" s="124" t="s">
        <v>956</v>
      </c>
      <c r="C268" s="64" t="s">
        <v>500</v>
      </c>
      <c r="D268" s="125" t="s">
        <v>168</v>
      </c>
      <c r="E268" s="65">
        <f>7+5</f>
        <v>12</v>
      </c>
      <c r="F268" s="65">
        <v>25.67</v>
      </c>
      <c r="G268" s="65">
        <f t="shared" si="34"/>
        <v>308.04000000000002</v>
      </c>
      <c r="H268" s="126">
        <f t="shared" si="37"/>
        <v>32.090000000000003</v>
      </c>
      <c r="I268" s="126">
        <f t="shared" si="35"/>
        <v>385.14</v>
      </c>
      <c r="J268" s="70">
        <f t="shared" si="38"/>
        <v>308.04000000000002</v>
      </c>
    </row>
    <row r="269" spans="1:10" ht="37.5" customHeight="1" x14ac:dyDescent="0.2">
      <c r="A269" s="63" t="s">
        <v>501</v>
      </c>
      <c r="B269" s="124" t="s">
        <v>957</v>
      </c>
      <c r="C269" s="64" t="s">
        <v>502</v>
      </c>
      <c r="D269" s="125" t="s">
        <v>168</v>
      </c>
      <c r="E269" s="65">
        <f>3+3</f>
        <v>6</v>
      </c>
      <c r="F269" s="65">
        <v>38.049999999999997</v>
      </c>
      <c r="G269" s="65">
        <f t="shared" si="34"/>
        <v>228.3</v>
      </c>
      <c r="H269" s="126">
        <f t="shared" si="37"/>
        <v>47.57</v>
      </c>
      <c r="I269" s="126">
        <f t="shared" si="35"/>
        <v>285.44</v>
      </c>
      <c r="J269" s="70">
        <f t="shared" si="38"/>
        <v>228.3</v>
      </c>
    </row>
    <row r="270" spans="1:10" ht="30.75" customHeight="1" x14ac:dyDescent="0.2">
      <c r="A270" s="63" t="s">
        <v>503</v>
      </c>
      <c r="B270" s="124" t="s">
        <v>958</v>
      </c>
      <c r="C270" s="64" t="s">
        <v>504</v>
      </c>
      <c r="D270" s="125" t="s">
        <v>168</v>
      </c>
      <c r="E270" s="65">
        <f>3+3</f>
        <v>6</v>
      </c>
      <c r="F270" s="65">
        <v>33.86</v>
      </c>
      <c r="G270" s="65">
        <f t="shared" si="34"/>
        <v>203.16</v>
      </c>
      <c r="H270" s="126">
        <f t="shared" si="37"/>
        <v>42.33</v>
      </c>
      <c r="I270" s="126">
        <f t="shared" si="35"/>
        <v>254.01</v>
      </c>
      <c r="J270" s="70">
        <f t="shared" si="38"/>
        <v>203.16</v>
      </c>
    </row>
    <row r="271" spans="1:10" ht="37.5" customHeight="1" x14ac:dyDescent="0.2">
      <c r="A271" s="63" t="s">
        <v>505</v>
      </c>
      <c r="B271" s="124" t="s">
        <v>959</v>
      </c>
      <c r="C271" s="64" t="s">
        <v>506</v>
      </c>
      <c r="D271" s="125" t="s">
        <v>168</v>
      </c>
      <c r="E271" s="65">
        <f>7+5</f>
        <v>12</v>
      </c>
      <c r="F271" s="65">
        <v>20.87</v>
      </c>
      <c r="G271" s="65">
        <f t="shared" si="34"/>
        <v>250.44</v>
      </c>
      <c r="H271" s="126">
        <f t="shared" si="37"/>
        <v>26.09</v>
      </c>
      <c r="I271" s="126">
        <f t="shared" si="35"/>
        <v>313.12</v>
      </c>
      <c r="J271" s="70">
        <f t="shared" si="38"/>
        <v>250.44</v>
      </c>
    </row>
    <row r="272" spans="1:10" ht="31.5" customHeight="1" x14ac:dyDescent="0.2">
      <c r="A272" s="63" t="s">
        <v>507</v>
      </c>
      <c r="B272" s="124" t="s">
        <v>960</v>
      </c>
      <c r="C272" s="64" t="s">
        <v>508</v>
      </c>
      <c r="D272" s="125" t="s">
        <v>168</v>
      </c>
      <c r="E272" s="65">
        <f t="shared" ref="E272:E277" si="39">3+3</f>
        <v>6</v>
      </c>
      <c r="F272" s="65">
        <v>39.24</v>
      </c>
      <c r="G272" s="65">
        <f t="shared" si="34"/>
        <v>235.44</v>
      </c>
      <c r="H272" s="126">
        <f t="shared" si="37"/>
        <v>49.06</v>
      </c>
      <c r="I272" s="126">
        <f t="shared" si="35"/>
        <v>294.37</v>
      </c>
      <c r="J272" s="70">
        <f t="shared" si="38"/>
        <v>235.44</v>
      </c>
    </row>
    <row r="273" spans="1:10" ht="33" customHeight="1" x14ac:dyDescent="0.2">
      <c r="A273" s="63" t="s">
        <v>509</v>
      </c>
      <c r="B273" s="124" t="s">
        <v>961</v>
      </c>
      <c r="C273" s="64" t="s">
        <v>510</v>
      </c>
      <c r="D273" s="125" t="s">
        <v>168</v>
      </c>
      <c r="E273" s="65">
        <f t="shared" si="39"/>
        <v>6</v>
      </c>
      <c r="F273" s="65">
        <v>35.130000000000003</v>
      </c>
      <c r="G273" s="65">
        <f t="shared" si="34"/>
        <v>210.78</v>
      </c>
      <c r="H273" s="126">
        <f t="shared" si="37"/>
        <v>43.92</v>
      </c>
      <c r="I273" s="126">
        <f t="shared" si="35"/>
        <v>263.52999999999997</v>
      </c>
      <c r="J273" s="70">
        <f t="shared" si="38"/>
        <v>210.78</v>
      </c>
    </row>
    <row r="274" spans="1:10" ht="35.25" customHeight="1" x14ac:dyDescent="0.2">
      <c r="A274" s="63" t="s">
        <v>511</v>
      </c>
      <c r="B274" s="124" t="s">
        <v>962</v>
      </c>
      <c r="C274" s="64" t="s">
        <v>512</v>
      </c>
      <c r="D274" s="125" t="s">
        <v>168</v>
      </c>
      <c r="E274" s="65">
        <f t="shared" si="39"/>
        <v>6</v>
      </c>
      <c r="F274" s="65">
        <v>21.88</v>
      </c>
      <c r="G274" s="65">
        <f t="shared" si="34"/>
        <v>131.28</v>
      </c>
      <c r="H274" s="126">
        <f t="shared" si="37"/>
        <v>27.35</v>
      </c>
      <c r="I274" s="126">
        <f t="shared" si="35"/>
        <v>164.13</v>
      </c>
      <c r="J274" s="70">
        <f t="shared" si="38"/>
        <v>131.28</v>
      </c>
    </row>
    <row r="275" spans="1:10" ht="37.5" customHeight="1" x14ac:dyDescent="0.2">
      <c r="A275" s="63" t="s">
        <v>513</v>
      </c>
      <c r="B275" s="124" t="s">
        <v>963</v>
      </c>
      <c r="C275" s="64" t="s">
        <v>514</v>
      </c>
      <c r="D275" s="125" t="s">
        <v>168</v>
      </c>
      <c r="E275" s="65">
        <f t="shared" si="39"/>
        <v>6</v>
      </c>
      <c r="F275" s="65">
        <v>46.25</v>
      </c>
      <c r="G275" s="65">
        <f t="shared" si="34"/>
        <v>277.5</v>
      </c>
      <c r="H275" s="126">
        <f t="shared" si="37"/>
        <v>57.82</v>
      </c>
      <c r="I275" s="126">
        <f t="shared" si="35"/>
        <v>346.95</v>
      </c>
      <c r="J275" s="70">
        <f t="shared" si="38"/>
        <v>277.5</v>
      </c>
    </row>
    <row r="276" spans="1:10" ht="37.5" customHeight="1" x14ac:dyDescent="0.2">
      <c r="A276" s="63" t="s">
        <v>515</v>
      </c>
      <c r="B276" s="124" t="s">
        <v>964</v>
      </c>
      <c r="C276" s="64" t="s">
        <v>516</v>
      </c>
      <c r="D276" s="125" t="s">
        <v>168</v>
      </c>
      <c r="E276" s="65">
        <f t="shared" si="39"/>
        <v>6</v>
      </c>
      <c r="F276" s="65">
        <v>23.93</v>
      </c>
      <c r="G276" s="65">
        <f t="shared" si="34"/>
        <v>143.58000000000001</v>
      </c>
      <c r="H276" s="126">
        <f t="shared" si="37"/>
        <v>29.91</v>
      </c>
      <c r="I276" s="126">
        <f t="shared" si="35"/>
        <v>179.51</v>
      </c>
      <c r="J276" s="70">
        <f t="shared" si="38"/>
        <v>143.58000000000001</v>
      </c>
    </row>
    <row r="277" spans="1:10" ht="28.5" customHeight="1" x14ac:dyDescent="0.2">
      <c r="A277" s="63" t="s">
        <v>517</v>
      </c>
      <c r="B277" s="124" t="s">
        <v>965</v>
      </c>
      <c r="C277" s="64" t="s">
        <v>518</v>
      </c>
      <c r="D277" s="125" t="s">
        <v>168</v>
      </c>
      <c r="E277" s="65">
        <f t="shared" si="39"/>
        <v>6</v>
      </c>
      <c r="F277" s="65">
        <v>71.27</v>
      </c>
      <c r="G277" s="65">
        <f t="shared" si="34"/>
        <v>427.62</v>
      </c>
      <c r="H277" s="126">
        <f t="shared" si="37"/>
        <v>89.1</v>
      </c>
      <c r="I277" s="126">
        <f t="shared" si="35"/>
        <v>534.65</v>
      </c>
      <c r="J277" s="70">
        <f t="shared" si="38"/>
        <v>427.62</v>
      </c>
    </row>
    <row r="278" spans="1:10" ht="30.75" customHeight="1" x14ac:dyDescent="0.2">
      <c r="A278" s="63" t="s">
        <v>519</v>
      </c>
      <c r="B278" s="124" t="s">
        <v>966</v>
      </c>
      <c r="C278" s="64" t="s">
        <v>520</v>
      </c>
      <c r="D278" s="125" t="s">
        <v>168</v>
      </c>
      <c r="E278" s="65">
        <f>7+5</f>
        <v>12</v>
      </c>
      <c r="F278" s="65">
        <v>31.28</v>
      </c>
      <c r="G278" s="65">
        <f t="shared" si="34"/>
        <v>375.36</v>
      </c>
      <c r="H278" s="126">
        <f t="shared" si="37"/>
        <v>39.1</v>
      </c>
      <c r="I278" s="126">
        <f t="shared" si="35"/>
        <v>469.31</v>
      </c>
      <c r="J278" s="70">
        <f t="shared" si="38"/>
        <v>375.36</v>
      </c>
    </row>
    <row r="279" spans="1:10" ht="37.5" customHeight="1" x14ac:dyDescent="0.2">
      <c r="A279" s="63" t="s">
        <v>521</v>
      </c>
      <c r="B279" s="124" t="s">
        <v>967</v>
      </c>
      <c r="C279" s="64" t="s">
        <v>522</v>
      </c>
      <c r="D279" s="125" t="s">
        <v>168</v>
      </c>
      <c r="E279" s="65">
        <f>3+3</f>
        <v>6</v>
      </c>
      <c r="F279" s="65">
        <v>23.21</v>
      </c>
      <c r="G279" s="65">
        <f t="shared" si="34"/>
        <v>139.26</v>
      </c>
      <c r="H279" s="126">
        <f t="shared" si="37"/>
        <v>29.01</v>
      </c>
      <c r="I279" s="126">
        <f t="shared" si="35"/>
        <v>174.11</v>
      </c>
      <c r="J279" s="70">
        <f t="shared" si="38"/>
        <v>139.26</v>
      </c>
    </row>
    <row r="280" spans="1:10" ht="38.25" customHeight="1" x14ac:dyDescent="0.2">
      <c r="A280" s="63" t="s">
        <v>523</v>
      </c>
      <c r="B280" s="124" t="s">
        <v>968</v>
      </c>
      <c r="C280" s="64" t="s">
        <v>524</v>
      </c>
      <c r="D280" s="125" t="s">
        <v>168</v>
      </c>
      <c r="E280" s="65">
        <f>5+5</f>
        <v>10</v>
      </c>
      <c r="F280" s="65">
        <v>18.84</v>
      </c>
      <c r="G280" s="65">
        <f t="shared" si="34"/>
        <v>188.4</v>
      </c>
      <c r="H280" s="126">
        <f t="shared" si="37"/>
        <v>23.55</v>
      </c>
      <c r="I280" s="126">
        <f t="shared" si="35"/>
        <v>235.55</v>
      </c>
      <c r="J280" s="70">
        <f t="shared" si="38"/>
        <v>188.4</v>
      </c>
    </row>
    <row r="281" spans="1:10" ht="28.5" customHeight="1" x14ac:dyDescent="0.2">
      <c r="A281" s="63" t="s">
        <v>525</v>
      </c>
      <c r="B281" s="124" t="s">
        <v>969</v>
      </c>
      <c r="C281" s="64" t="s">
        <v>1144</v>
      </c>
      <c r="D281" s="125" t="s">
        <v>168</v>
      </c>
      <c r="E281" s="65">
        <f>5+5</f>
        <v>10</v>
      </c>
      <c r="F281" s="65">
        <v>74.400000000000006</v>
      </c>
      <c r="G281" s="65">
        <f t="shared" si="34"/>
        <v>744</v>
      </c>
      <c r="H281" s="126">
        <f t="shared" si="37"/>
        <v>93.02</v>
      </c>
      <c r="I281" s="126">
        <f t="shared" si="35"/>
        <v>930.22</v>
      </c>
      <c r="J281" s="70">
        <f t="shared" si="38"/>
        <v>744</v>
      </c>
    </row>
    <row r="282" spans="1:10" ht="30.75" customHeight="1" x14ac:dyDescent="0.2">
      <c r="A282" s="63" t="s">
        <v>526</v>
      </c>
      <c r="B282" s="124" t="s">
        <v>970</v>
      </c>
      <c r="C282" s="64" t="s">
        <v>527</v>
      </c>
      <c r="D282" s="125" t="s">
        <v>168</v>
      </c>
      <c r="E282" s="65">
        <f>11+7</f>
        <v>18</v>
      </c>
      <c r="F282" s="65">
        <v>97.76</v>
      </c>
      <c r="G282" s="65">
        <f t="shared" si="34"/>
        <v>1759.68</v>
      </c>
      <c r="H282" s="126">
        <f t="shared" si="37"/>
        <v>122.22</v>
      </c>
      <c r="I282" s="126">
        <f t="shared" si="35"/>
        <v>2200.12</v>
      </c>
      <c r="J282" s="70">
        <f t="shared" si="38"/>
        <v>1759.68</v>
      </c>
    </row>
    <row r="283" spans="1:10" ht="25.5" x14ac:dyDescent="0.2">
      <c r="A283" s="63" t="s">
        <v>528</v>
      </c>
      <c r="B283" s="124" t="s">
        <v>971</v>
      </c>
      <c r="C283" s="64" t="s">
        <v>529</v>
      </c>
      <c r="D283" s="125" t="s">
        <v>168</v>
      </c>
      <c r="E283" s="65">
        <f>7+9</f>
        <v>16</v>
      </c>
      <c r="F283" s="65">
        <v>43.95</v>
      </c>
      <c r="G283" s="65">
        <f t="shared" si="34"/>
        <v>703.2</v>
      </c>
      <c r="H283" s="126">
        <f t="shared" si="37"/>
        <v>54.95</v>
      </c>
      <c r="I283" s="126">
        <f t="shared" si="35"/>
        <v>879.21</v>
      </c>
      <c r="J283" s="70">
        <f t="shared" si="38"/>
        <v>703.2</v>
      </c>
    </row>
    <row r="284" spans="1:10" ht="42" customHeight="1" x14ac:dyDescent="0.2">
      <c r="A284" s="63" t="s">
        <v>530</v>
      </c>
      <c r="B284" s="124" t="s">
        <v>972</v>
      </c>
      <c r="C284" s="64" t="s">
        <v>531</v>
      </c>
      <c r="D284" s="125" t="s">
        <v>267</v>
      </c>
      <c r="E284" s="65">
        <f>6+1.85</f>
        <v>7.85</v>
      </c>
      <c r="F284" s="65">
        <v>62.2</v>
      </c>
      <c r="G284" s="65">
        <f t="shared" si="34"/>
        <v>488.27</v>
      </c>
      <c r="H284" s="126">
        <f t="shared" si="37"/>
        <v>77.760000000000005</v>
      </c>
      <c r="I284" s="126">
        <f t="shared" si="35"/>
        <v>610.48</v>
      </c>
      <c r="J284" s="70">
        <f t="shared" si="38"/>
        <v>488.27</v>
      </c>
    </row>
    <row r="285" spans="1:10" ht="51" x14ac:dyDescent="0.2">
      <c r="A285" s="63" t="s">
        <v>532</v>
      </c>
      <c r="B285" s="124" t="s">
        <v>973</v>
      </c>
      <c r="C285" s="64" t="s">
        <v>533</v>
      </c>
      <c r="D285" s="125" t="s">
        <v>267</v>
      </c>
      <c r="E285" s="65">
        <f>6+1.85</f>
        <v>7.85</v>
      </c>
      <c r="F285" s="65">
        <v>60.18</v>
      </c>
      <c r="G285" s="65">
        <f t="shared" si="34"/>
        <v>472.41</v>
      </c>
      <c r="H285" s="126">
        <f t="shared" si="37"/>
        <v>75.239999999999995</v>
      </c>
      <c r="I285" s="126">
        <f t="shared" si="35"/>
        <v>590.65</v>
      </c>
      <c r="J285" s="70">
        <f t="shared" si="38"/>
        <v>472.41</v>
      </c>
    </row>
    <row r="286" spans="1:10" ht="45.75" customHeight="1" x14ac:dyDescent="0.2">
      <c r="A286" s="63" t="s">
        <v>534</v>
      </c>
      <c r="B286" s="124" t="s">
        <v>473</v>
      </c>
      <c r="C286" s="64" t="s">
        <v>474</v>
      </c>
      <c r="D286" s="125" t="s">
        <v>168</v>
      </c>
      <c r="E286" s="65">
        <f>2+3</f>
        <v>5</v>
      </c>
      <c r="F286" s="65">
        <v>627.46</v>
      </c>
      <c r="G286" s="65">
        <f t="shared" si="34"/>
        <v>3137.3</v>
      </c>
      <c r="H286" s="126">
        <f t="shared" si="37"/>
        <v>784.51</v>
      </c>
      <c r="I286" s="126">
        <f t="shared" si="35"/>
        <v>3922.56</v>
      </c>
      <c r="J286" s="70">
        <f t="shared" si="38"/>
        <v>3137.3</v>
      </c>
    </row>
    <row r="287" spans="1:10" ht="38.25" x14ac:dyDescent="0.2">
      <c r="A287" s="63" t="s">
        <v>535</v>
      </c>
      <c r="B287" s="124" t="s">
        <v>536</v>
      </c>
      <c r="C287" s="64" t="s">
        <v>537</v>
      </c>
      <c r="D287" s="125" t="s">
        <v>168</v>
      </c>
      <c r="E287" s="65">
        <f>2+3</f>
        <v>5</v>
      </c>
      <c r="F287" s="65">
        <v>1041.1199999999999</v>
      </c>
      <c r="G287" s="65">
        <f t="shared" si="34"/>
        <v>5205.6000000000004</v>
      </c>
      <c r="H287" s="126">
        <f t="shared" si="37"/>
        <v>1301.71</v>
      </c>
      <c r="I287" s="126">
        <f t="shared" si="35"/>
        <v>6508.56</v>
      </c>
      <c r="J287" s="70">
        <f t="shared" si="38"/>
        <v>5205.6000000000004</v>
      </c>
    </row>
    <row r="288" spans="1:10" x14ac:dyDescent="0.2">
      <c r="A288" s="63" t="s">
        <v>538</v>
      </c>
      <c r="B288" s="124" t="s">
        <v>945</v>
      </c>
      <c r="C288" s="64" t="s">
        <v>476</v>
      </c>
      <c r="D288" s="125" t="s">
        <v>9</v>
      </c>
      <c r="E288" s="65">
        <f>10.1+6.6</f>
        <v>16.7</v>
      </c>
      <c r="F288" s="65">
        <v>68.790000000000006</v>
      </c>
      <c r="G288" s="65">
        <f t="shared" si="34"/>
        <v>1148.79</v>
      </c>
      <c r="H288" s="126">
        <f t="shared" si="37"/>
        <v>86</v>
      </c>
      <c r="I288" s="126">
        <f t="shared" si="35"/>
        <v>1436.33</v>
      </c>
      <c r="J288" s="70">
        <f t="shared" si="38"/>
        <v>1148.79</v>
      </c>
    </row>
    <row r="289" spans="1:12" x14ac:dyDescent="0.2">
      <c r="A289" s="63" t="s">
        <v>539</v>
      </c>
      <c r="B289" s="124" t="s">
        <v>946</v>
      </c>
      <c r="C289" s="64" t="s">
        <v>478</v>
      </c>
      <c r="D289" s="125" t="s">
        <v>9</v>
      </c>
      <c r="E289" s="65">
        <f>2.8+1.65</f>
        <v>4.4499999999999993</v>
      </c>
      <c r="F289" s="65">
        <v>41.71</v>
      </c>
      <c r="G289" s="65">
        <f t="shared" si="34"/>
        <v>185.6</v>
      </c>
      <c r="H289" s="126">
        <f t="shared" si="37"/>
        <v>52.15</v>
      </c>
      <c r="I289" s="126">
        <f t="shared" si="35"/>
        <v>232.05</v>
      </c>
      <c r="J289" s="70">
        <f t="shared" si="38"/>
        <v>185.6</v>
      </c>
    </row>
    <row r="290" spans="1:12" x14ac:dyDescent="0.2">
      <c r="A290" s="127" t="s">
        <v>540</v>
      </c>
      <c r="B290" s="128"/>
      <c r="C290" s="66" t="s">
        <v>1049</v>
      </c>
      <c r="D290" s="66"/>
      <c r="E290" s="141"/>
      <c r="F290" s="143">
        <f>SUM(F291:F337)</f>
        <v>8423.18</v>
      </c>
      <c r="G290" s="143">
        <f>SUM(G291:G337)</f>
        <v>238186.75999999995</v>
      </c>
      <c r="H290" s="129">
        <f>SUM(H291:H337)</f>
        <v>10531.27</v>
      </c>
      <c r="I290" s="129">
        <f>SUM(I291:I337)</f>
        <v>297804.65000000002</v>
      </c>
      <c r="J290" s="75">
        <f>SUM(J291:J337)</f>
        <v>238186.75999999995</v>
      </c>
      <c r="L290" s="1"/>
    </row>
    <row r="291" spans="1:12" ht="27.75" customHeight="1" x14ac:dyDescent="0.2">
      <c r="A291" s="63" t="s">
        <v>541</v>
      </c>
      <c r="B291" s="124" t="s">
        <v>542</v>
      </c>
      <c r="C291" s="64" t="s">
        <v>543</v>
      </c>
      <c r="D291" s="125" t="s">
        <v>168</v>
      </c>
      <c r="E291" s="65">
        <f>2+1</f>
        <v>3</v>
      </c>
      <c r="F291" s="65">
        <v>2769.11</v>
      </c>
      <c r="G291" s="65">
        <f t="shared" si="34"/>
        <v>8307.33</v>
      </c>
      <c r="H291" s="126">
        <f t="shared" si="37"/>
        <v>3462.21</v>
      </c>
      <c r="I291" s="126">
        <f t="shared" si="35"/>
        <v>10386.65</v>
      </c>
      <c r="J291" s="70">
        <f>TRUNC(F291 * E291, 2)</f>
        <v>8307.33</v>
      </c>
    </row>
    <row r="292" spans="1:12" ht="29.25" customHeight="1" x14ac:dyDescent="0.2">
      <c r="A292" s="63" t="s">
        <v>544</v>
      </c>
      <c r="B292" s="124" t="s">
        <v>974</v>
      </c>
      <c r="C292" s="64" t="s">
        <v>545</v>
      </c>
      <c r="D292" s="125" t="s">
        <v>168</v>
      </c>
      <c r="E292" s="65">
        <f>2+1</f>
        <v>3</v>
      </c>
      <c r="F292" s="65">
        <v>1188.6400000000001</v>
      </c>
      <c r="G292" s="65">
        <f t="shared" si="34"/>
        <v>3565.92</v>
      </c>
      <c r="H292" s="126">
        <f t="shared" si="37"/>
        <v>1486.15</v>
      </c>
      <c r="I292" s="126">
        <f t="shared" si="35"/>
        <v>4458.46</v>
      </c>
      <c r="J292" s="70">
        <f t="shared" ref="J292:J337" si="40">TRUNC(F292 * E292, 2)</f>
        <v>3565.92</v>
      </c>
    </row>
    <row r="293" spans="1:12" ht="31.5" customHeight="1" x14ac:dyDescent="0.2">
      <c r="A293" s="63" t="s">
        <v>546</v>
      </c>
      <c r="B293" s="124" t="s">
        <v>547</v>
      </c>
      <c r="C293" s="64" t="s">
        <v>548</v>
      </c>
      <c r="D293" s="125" t="s">
        <v>168</v>
      </c>
      <c r="E293" s="65">
        <f>1+1</f>
        <v>2</v>
      </c>
      <c r="F293" s="65">
        <v>1012.58</v>
      </c>
      <c r="G293" s="65">
        <f t="shared" si="34"/>
        <v>2025.16</v>
      </c>
      <c r="H293" s="126">
        <f t="shared" si="37"/>
        <v>1266.02</v>
      </c>
      <c r="I293" s="126">
        <f t="shared" si="35"/>
        <v>2532.0500000000002</v>
      </c>
      <c r="J293" s="70">
        <f t="shared" si="40"/>
        <v>2025.16</v>
      </c>
    </row>
    <row r="294" spans="1:12" x14ac:dyDescent="0.2">
      <c r="A294" s="63" t="s">
        <v>549</v>
      </c>
      <c r="B294" s="124" t="s">
        <v>975</v>
      </c>
      <c r="C294" s="64" t="s">
        <v>1140</v>
      </c>
      <c r="D294" s="125" t="s">
        <v>168</v>
      </c>
      <c r="E294" s="65">
        <f>48+28</f>
        <v>76</v>
      </c>
      <c r="F294" s="65">
        <v>12.6</v>
      </c>
      <c r="G294" s="65">
        <f t="shared" si="34"/>
        <v>957.6</v>
      </c>
      <c r="H294" s="126">
        <f t="shared" si="37"/>
        <v>15.75</v>
      </c>
      <c r="I294" s="126">
        <f t="shared" si="35"/>
        <v>1197.28</v>
      </c>
      <c r="J294" s="70">
        <f t="shared" si="40"/>
        <v>957.6</v>
      </c>
    </row>
    <row r="295" spans="1:12" x14ac:dyDescent="0.2">
      <c r="A295" s="63" t="s">
        <v>550</v>
      </c>
      <c r="B295" s="124" t="s">
        <v>976</v>
      </c>
      <c r="C295" s="64" t="s">
        <v>1139</v>
      </c>
      <c r="D295" s="125" t="s">
        <v>168</v>
      </c>
      <c r="E295" s="65">
        <f>18+12</f>
        <v>30</v>
      </c>
      <c r="F295" s="65">
        <v>56.87</v>
      </c>
      <c r="G295" s="65">
        <f t="shared" si="34"/>
        <v>1706.1</v>
      </c>
      <c r="H295" s="126">
        <f t="shared" si="37"/>
        <v>71.099999999999994</v>
      </c>
      <c r="I295" s="126">
        <f t="shared" si="35"/>
        <v>2133.13</v>
      </c>
      <c r="J295" s="70">
        <f t="shared" si="40"/>
        <v>1706.1</v>
      </c>
    </row>
    <row r="296" spans="1:12" x14ac:dyDescent="0.2">
      <c r="A296" s="63" t="s">
        <v>551</v>
      </c>
      <c r="B296" s="124" t="s">
        <v>977</v>
      </c>
      <c r="C296" s="64" t="s">
        <v>1141</v>
      </c>
      <c r="D296" s="125" t="s">
        <v>168</v>
      </c>
      <c r="E296" s="65">
        <f>9+7</f>
        <v>16</v>
      </c>
      <c r="F296" s="65">
        <v>71.959999999999994</v>
      </c>
      <c r="G296" s="65">
        <f t="shared" si="34"/>
        <v>1151.3599999999999</v>
      </c>
      <c r="H296" s="126">
        <f t="shared" si="37"/>
        <v>89.97</v>
      </c>
      <c r="I296" s="126">
        <f t="shared" si="35"/>
        <v>1439.54</v>
      </c>
      <c r="J296" s="70">
        <f t="shared" si="40"/>
        <v>1151.3599999999999</v>
      </c>
    </row>
    <row r="297" spans="1:12" ht="25.5" x14ac:dyDescent="0.2">
      <c r="A297" s="63" t="s">
        <v>552</v>
      </c>
      <c r="B297" s="124" t="s">
        <v>978</v>
      </c>
      <c r="C297" s="64" t="s">
        <v>553</v>
      </c>
      <c r="D297" s="125" t="s">
        <v>168</v>
      </c>
      <c r="E297" s="65">
        <f>9+7</f>
        <v>16</v>
      </c>
      <c r="F297" s="65">
        <v>146.16</v>
      </c>
      <c r="G297" s="65">
        <f t="shared" si="34"/>
        <v>2338.56</v>
      </c>
      <c r="H297" s="126">
        <f t="shared" si="37"/>
        <v>182.74</v>
      </c>
      <c r="I297" s="126">
        <f t="shared" si="35"/>
        <v>2923.9</v>
      </c>
      <c r="J297" s="70">
        <f t="shared" si="40"/>
        <v>2338.56</v>
      </c>
    </row>
    <row r="298" spans="1:12" ht="29.25" customHeight="1" x14ac:dyDescent="0.2">
      <c r="A298" s="63" t="s">
        <v>554</v>
      </c>
      <c r="B298" s="124" t="s">
        <v>979</v>
      </c>
      <c r="C298" s="64" t="s">
        <v>555</v>
      </c>
      <c r="D298" s="125" t="s">
        <v>168</v>
      </c>
      <c r="E298" s="65">
        <f>3+3</f>
        <v>6</v>
      </c>
      <c r="F298" s="65">
        <v>398.36</v>
      </c>
      <c r="G298" s="65">
        <f t="shared" si="34"/>
        <v>2390.16</v>
      </c>
      <c r="H298" s="126">
        <f t="shared" si="37"/>
        <v>498.06</v>
      </c>
      <c r="I298" s="126">
        <f t="shared" si="35"/>
        <v>2988.41</v>
      </c>
      <c r="J298" s="70">
        <f t="shared" si="40"/>
        <v>2390.16</v>
      </c>
    </row>
    <row r="299" spans="1:12" ht="17.25" customHeight="1" x14ac:dyDescent="0.2">
      <c r="A299" s="63" t="s">
        <v>556</v>
      </c>
      <c r="B299" s="124" t="s">
        <v>557</v>
      </c>
      <c r="C299" s="64" t="s">
        <v>558</v>
      </c>
      <c r="D299" s="125" t="s">
        <v>168</v>
      </c>
      <c r="E299" s="65">
        <f>15+9</f>
        <v>24</v>
      </c>
      <c r="F299" s="65">
        <v>157.34</v>
      </c>
      <c r="G299" s="65">
        <f t="shared" si="34"/>
        <v>3776.16</v>
      </c>
      <c r="H299" s="126">
        <f t="shared" si="37"/>
        <v>196.72</v>
      </c>
      <c r="I299" s="126">
        <f t="shared" si="35"/>
        <v>4721.33</v>
      </c>
      <c r="J299" s="70">
        <f t="shared" si="40"/>
        <v>3776.16</v>
      </c>
    </row>
    <row r="300" spans="1:12" ht="17.25" customHeight="1" x14ac:dyDescent="0.2">
      <c r="A300" s="63" t="s">
        <v>559</v>
      </c>
      <c r="B300" s="124" t="s">
        <v>560</v>
      </c>
      <c r="C300" s="64" t="s">
        <v>561</v>
      </c>
      <c r="D300" s="125" t="s">
        <v>168</v>
      </c>
      <c r="E300" s="65">
        <f>7+7</f>
        <v>14</v>
      </c>
      <c r="F300" s="65">
        <v>171.07</v>
      </c>
      <c r="G300" s="65">
        <f t="shared" si="34"/>
        <v>2394.98</v>
      </c>
      <c r="H300" s="126">
        <f t="shared" si="37"/>
        <v>213.88</v>
      </c>
      <c r="I300" s="126">
        <f t="shared" si="35"/>
        <v>2994.44</v>
      </c>
      <c r="J300" s="70">
        <f t="shared" si="40"/>
        <v>2394.98</v>
      </c>
    </row>
    <row r="301" spans="1:12" ht="28.5" customHeight="1" x14ac:dyDescent="0.2">
      <c r="A301" s="63" t="s">
        <v>562</v>
      </c>
      <c r="B301" s="124" t="s">
        <v>980</v>
      </c>
      <c r="C301" s="64" t="s">
        <v>563</v>
      </c>
      <c r="D301" s="125" t="s">
        <v>267</v>
      </c>
      <c r="E301" s="65">
        <f>800+600</f>
        <v>1400</v>
      </c>
      <c r="F301" s="65">
        <v>4.38</v>
      </c>
      <c r="G301" s="65">
        <f t="shared" si="34"/>
        <v>6132</v>
      </c>
      <c r="H301" s="126">
        <f t="shared" si="37"/>
        <v>5.47</v>
      </c>
      <c r="I301" s="126">
        <f t="shared" si="35"/>
        <v>7666.83</v>
      </c>
      <c r="J301" s="70">
        <f t="shared" si="40"/>
        <v>6132</v>
      </c>
    </row>
    <row r="302" spans="1:12" ht="28.5" customHeight="1" x14ac:dyDescent="0.2">
      <c r="A302" s="63" t="s">
        <v>564</v>
      </c>
      <c r="B302" s="124" t="s">
        <v>981</v>
      </c>
      <c r="C302" s="64" t="s">
        <v>565</v>
      </c>
      <c r="D302" s="125" t="s">
        <v>267</v>
      </c>
      <c r="E302" s="65">
        <f>700+400</f>
        <v>1100</v>
      </c>
      <c r="F302" s="65">
        <v>6.45</v>
      </c>
      <c r="G302" s="65">
        <f t="shared" si="34"/>
        <v>7095</v>
      </c>
      <c r="H302" s="126">
        <f t="shared" si="37"/>
        <v>8.06</v>
      </c>
      <c r="I302" s="126">
        <f t="shared" si="35"/>
        <v>8870.8700000000008</v>
      </c>
      <c r="J302" s="70">
        <f t="shared" si="40"/>
        <v>7095</v>
      </c>
    </row>
    <row r="303" spans="1:12" ht="31.5" customHeight="1" x14ac:dyDescent="0.2">
      <c r="A303" s="63" t="s">
        <v>566</v>
      </c>
      <c r="B303" s="124" t="s">
        <v>982</v>
      </c>
      <c r="C303" s="64" t="s">
        <v>567</v>
      </c>
      <c r="D303" s="125" t="s">
        <v>267</v>
      </c>
      <c r="E303" s="65">
        <f>400+200</f>
        <v>600</v>
      </c>
      <c r="F303" s="65">
        <v>9.1300000000000008</v>
      </c>
      <c r="G303" s="65">
        <f t="shared" si="34"/>
        <v>5478</v>
      </c>
      <c r="H303" s="126">
        <f t="shared" si="37"/>
        <v>11.41</v>
      </c>
      <c r="I303" s="126">
        <f t="shared" si="35"/>
        <v>6849.14</v>
      </c>
      <c r="J303" s="70">
        <f t="shared" si="40"/>
        <v>5478</v>
      </c>
    </row>
    <row r="304" spans="1:12" ht="28.5" customHeight="1" x14ac:dyDescent="0.2">
      <c r="A304" s="63" t="s">
        <v>568</v>
      </c>
      <c r="B304" s="124" t="s">
        <v>983</v>
      </c>
      <c r="C304" s="64" t="s">
        <v>569</v>
      </c>
      <c r="D304" s="125" t="s">
        <v>267</v>
      </c>
      <c r="E304" s="65">
        <f>100+150</f>
        <v>250</v>
      </c>
      <c r="F304" s="65">
        <v>15.1</v>
      </c>
      <c r="G304" s="65">
        <f t="shared" ref="G304:G367" si="41">TRUNC(E304*F304,2)</f>
        <v>3775</v>
      </c>
      <c r="H304" s="126">
        <f t="shared" si="37"/>
        <v>18.87</v>
      </c>
      <c r="I304" s="126">
        <f t="shared" ref="I304:I367" si="42">TRUNC(G304*(1+I$8),2)</f>
        <v>4719.88</v>
      </c>
      <c r="J304" s="70">
        <f t="shared" si="40"/>
        <v>3775</v>
      </c>
    </row>
    <row r="305" spans="1:10" ht="17.25" customHeight="1" x14ac:dyDescent="0.2">
      <c r="A305" s="63" t="s">
        <v>570</v>
      </c>
      <c r="B305" s="124" t="s">
        <v>984</v>
      </c>
      <c r="C305" s="64" t="s">
        <v>571</v>
      </c>
      <c r="D305" s="125" t="s">
        <v>168</v>
      </c>
      <c r="E305" s="65">
        <f>15+9</f>
        <v>24</v>
      </c>
      <c r="F305" s="65">
        <v>18.29</v>
      </c>
      <c r="G305" s="65">
        <f t="shared" si="41"/>
        <v>438.96</v>
      </c>
      <c r="H305" s="126">
        <f t="shared" si="37"/>
        <v>22.86</v>
      </c>
      <c r="I305" s="126">
        <f t="shared" si="42"/>
        <v>548.83000000000004</v>
      </c>
      <c r="J305" s="70">
        <f t="shared" si="40"/>
        <v>438.96</v>
      </c>
    </row>
    <row r="306" spans="1:10" ht="27.75" customHeight="1" x14ac:dyDescent="0.2">
      <c r="A306" s="63" t="s">
        <v>572</v>
      </c>
      <c r="B306" s="124" t="s">
        <v>985</v>
      </c>
      <c r="C306" s="64" t="s">
        <v>573</v>
      </c>
      <c r="D306" s="125" t="s">
        <v>267</v>
      </c>
      <c r="E306" s="65">
        <f>28+69</f>
        <v>97</v>
      </c>
      <c r="F306" s="65">
        <v>8.84</v>
      </c>
      <c r="G306" s="65">
        <f t="shared" si="41"/>
        <v>857.48</v>
      </c>
      <c r="H306" s="126">
        <f t="shared" si="37"/>
        <v>11.05</v>
      </c>
      <c r="I306" s="126">
        <f t="shared" si="42"/>
        <v>1072.0999999999999</v>
      </c>
      <c r="J306" s="70">
        <f t="shared" si="40"/>
        <v>857.48</v>
      </c>
    </row>
    <row r="307" spans="1:10" ht="28.5" customHeight="1" x14ac:dyDescent="0.2">
      <c r="A307" s="63" t="s">
        <v>574</v>
      </c>
      <c r="B307" s="124" t="s">
        <v>986</v>
      </c>
      <c r="C307" s="64" t="s">
        <v>575</v>
      </c>
      <c r="D307" s="125" t="s">
        <v>267</v>
      </c>
      <c r="E307" s="65">
        <f>28+69</f>
        <v>97</v>
      </c>
      <c r="F307" s="65">
        <v>12.36</v>
      </c>
      <c r="G307" s="65">
        <f t="shared" si="41"/>
        <v>1198.92</v>
      </c>
      <c r="H307" s="126">
        <f t="shared" si="37"/>
        <v>15.45</v>
      </c>
      <c r="I307" s="126">
        <f t="shared" si="42"/>
        <v>1499</v>
      </c>
      <c r="J307" s="70">
        <f t="shared" si="40"/>
        <v>1198.92</v>
      </c>
    </row>
    <row r="308" spans="1:10" ht="30" customHeight="1" x14ac:dyDescent="0.2">
      <c r="A308" s="63" t="s">
        <v>576</v>
      </c>
      <c r="B308" s="124" t="s">
        <v>987</v>
      </c>
      <c r="C308" s="64" t="s">
        <v>577</v>
      </c>
      <c r="D308" s="125" t="s">
        <v>267</v>
      </c>
      <c r="E308" s="65">
        <f>83.95+96</f>
        <v>179.95</v>
      </c>
      <c r="F308" s="65">
        <v>16.010000000000002</v>
      </c>
      <c r="G308" s="65">
        <f t="shared" si="41"/>
        <v>2880.99</v>
      </c>
      <c r="H308" s="126">
        <f t="shared" si="37"/>
        <v>20.010000000000002</v>
      </c>
      <c r="I308" s="126">
        <f t="shared" si="42"/>
        <v>3602.1</v>
      </c>
      <c r="J308" s="70">
        <f t="shared" si="40"/>
        <v>2880.99</v>
      </c>
    </row>
    <row r="309" spans="1:10" ht="30" customHeight="1" x14ac:dyDescent="0.2">
      <c r="A309" s="63" t="s">
        <v>578</v>
      </c>
      <c r="B309" s="124" t="s">
        <v>988</v>
      </c>
      <c r="C309" s="64" t="s">
        <v>579</v>
      </c>
      <c r="D309" s="125" t="s">
        <v>168</v>
      </c>
      <c r="E309" s="65">
        <f>15+9</f>
        <v>24</v>
      </c>
      <c r="F309" s="65">
        <v>6.16</v>
      </c>
      <c r="G309" s="65">
        <f t="shared" si="41"/>
        <v>147.84</v>
      </c>
      <c r="H309" s="126">
        <f t="shared" si="37"/>
        <v>7.7</v>
      </c>
      <c r="I309" s="126">
        <f t="shared" si="42"/>
        <v>184.84</v>
      </c>
      <c r="J309" s="70">
        <f t="shared" si="40"/>
        <v>147.84</v>
      </c>
    </row>
    <row r="310" spans="1:10" ht="28.5" customHeight="1" x14ac:dyDescent="0.2">
      <c r="A310" s="63" t="s">
        <v>580</v>
      </c>
      <c r="B310" s="124" t="s">
        <v>989</v>
      </c>
      <c r="C310" s="64" t="s">
        <v>581</v>
      </c>
      <c r="D310" s="125" t="s">
        <v>168</v>
      </c>
      <c r="E310" s="65">
        <f>15+9</f>
        <v>24</v>
      </c>
      <c r="F310" s="65">
        <v>10.1</v>
      </c>
      <c r="G310" s="65">
        <f t="shared" si="41"/>
        <v>242.4</v>
      </c>
      <c r="H310" s="126">
        <f t="shared" si="37"/>
        <v>12.62</v>
      </c>
      <c r="I310" s="126">
        <f t="shared" si="42"/>
        <v>303.07</v>
      </c>
      <c r="J310" s="70">
        <f t="shared" si="40"/>
        <v>242.4</v>
      </c>
    </row>
    <row r="311" spans="1:10" ht="31.5" customHeight="1" x14ac:dyDescent="0.2">
      <c r="A311" s="63" t="s">
        <v>582</v>
      </c>
      <c r="B311" s="124" t="s">
        <v>990</v>
      </c>
      <c r="C311" s="64" t="s">
        <v>583</v>
      </c>
      <c r="D311" s="125" t="s">
        <v>168</v>
      </c>
      <c r="E311" s="65">
        <f>15+9</f>
        <v>24</v>
      </c>
      <c r="F311" s="65">
        <v>7.73</v>
      </c>
      <c r="G311" s="65">
        <f t="shared" si="41"/>
        <v>185.52</v>
      </c>
      <c r="H311" s="126">
        <f t="shared" si="37"/>
        <v>9.66</v>
      </c>
      <c r="I311" s="126">
        <f t="shared" si="42"/>
        <v>231.95</v>
      </c>
      <c r="J311" s="70">
        <f t="shared" si="40"/>
        <v>185.52</v>
      </c>
    </row>
    <row r="312" spans="1:10" ht="27.75" customHeight="1" x14ac:dyDescent="0.2">
      <c r="A312" s="63" t="s">
        <v>584</v>
      </c>
      <c r="B312" s="124" t="s">
        <v>991</v>
      </c>
      <c r="C312" s="64" t="s">
        <v>585</v>
      </c>
      <c r="D312" s="125" t="s">
        <v>168</v>
      </c>
      <c r="E312" s="65">
        <f>15+9</f>
        <v>24</v>
      </c>
      <c r="F312" s="65">
        <v>10.36</v>
      </c>
      <c r="G312" s="65">
        <f t="shared" si="41"/>
        <v>248.64</v>
      </c>
      <c r="H312" s="126">
        <f t="shared" si="37"/>
        <v>12.95</v>
      </c>
      <c r="I312" s="126">
        <f t="shared" si="42"/>
        <v>310.87</v>
      </c>
      <c r="J312" s="70">
        <f t="shared" si="40"/>
        <v>248.64</v>
      </c>
    </row>
    <row r="313" spans="1:10" ht="28.5" customHeight="1" x14ac:dyDescent="0.2">
      <c r="A313" s="63" t="s">
        <v>586</v>
      </c>
      <c r="B313" s="124" t="s">
        <v>992</v>
      </c>
      <c r="C313" s="64" t="s">
        <v>587</v>
      </c>
      <c r="D313" s="125" t="s">
        <v>168</v>
      </c>
      <c r="E313" s="65">
        <f>25+17</f>
        <v>42</v>
      </c>
      <c r="F313" s="65">
        <v>16.25</v>
      </c>
      <c r="G313" s="65">
        <f t="shared" si="41"/>
        <v>682.5</v>
      </c>
      <c r="H313" s="126">
        <f t="shared" si="37"/>
        <v>20.309999999999999</v>
      </c>
      <c r="I313" s="126">
        <f t="shared" si="42"/>
        <v>853.32</v>
      </c>
      <c r="J313" s="70">
        <f t="shared" si="40"/>
        <v>682.5</v>
      </c>
    </row>
    <row r="314" spans="1:10" ht="27.75" customHeight="1" x14ac:dyDescent="0.2">
      <c r="A314" s="63" t="s">
        <v>588</v>
      </c>
      <c r="B314" s="124" t="s">
        <v>993</v>
      </c>
      <c r="C314" s="64" t="s">
        <v>589</v>
      </c>
      <c r="D314" s="125" t="s">
        <v>168</v>
      </c>
      <c r="E314" s="65">
        <f>13+9</f>
        <v>22</v>
      </c>
      <c r="F314" s="65">
        <v>13.52</v>
      </c>
      <c r="G314" s="65">
        <f t="shared" si="41"/>
        <v>297.44</v>
      </c>
      <c r="H314" s="126">
        <f t="shared" si="37"/>
        <v>16.899999999999999</v>
      </c>
      <c r="I314" s="126">
        <f t="shared" si="42"/>
        <v>371.88</v>
      </c>
      <c r="J314" s="70">
        <f t="shared" si="40"/>
        <v>297.44</v>
      </c>
    </row>
    <row r="315" spans="1:10" ht="30" customHeight="1" x14ac:dyDescent="0.2">
      <c r="A315" s="63" t="s">
        <v>590</v>
      </c>
      <c r="B315" s="124" t="s">
        <v>994</v>
      </c>
      <c r="C315" s="64" t="s">
        <v>591</v>
      </c>
      <c r="D315" s="125" t="s">
        <v>168</v>
      </c>
      <c r="E315" s="65">
        <f>104+67</f>
        <v>171</v>
      </c>
      <c r="F315" s="65">
        <v>42.04</v>
      </c>
      <c r="G315" s="65">
        <f t="shared" si="41"/>
        <v>7188.84</v>
      </c>
      <c r="H315" s="126">
        <f t="shared" si="37"/>
        <v>52.56</v>
      </c>
      <c r="I315" s="126">
        <f t="shared" si="42"/>
        <v>8988.2000000000007</v>
      </c>
      <c r="J315" s="70">
        <f t="shared" si="40"/>
        <v>7188.84</v>
      </c>
    </row>
    <row r="316" spans="1:10" ht="27.75" customHeight="1" x14ac:dyDescent="0.2">
      <c r="A316" s="63" t="s">
        <v>592</v>
      </c>
      <c r="B316" s="124" t="s">
        <v>995</v>
      </c>
      <c r="C316" s="64" t="s">
        <v>593</v>
      </c>
      <c r="D316" s="125" t="s">
        <v>168</v>
      </c>
      <c r="E316" s="65">
        <f>20+9</f>
        <v>29</v>
      </c>
      <c r="F316" s="65">
        <v>51.78</v>
      </c>
      <c r="G316" s="65">
        <f t="shared" si="41"/>
        <v>1501.62</v>
      </c>
      <c r="H316" s="126">
        <f t="shared" ref="H316:H379" si="43">TRUNC(F316*(1+I$8),2)</f>
        <v>64.739999999999995</v>
      </c>
      <c r="I316" s="126">
        <f t="shared" si="42"/>
        <v>1877.47</v>
      </c>
      <c r="J316" s="70">
        <f t="shared" si="40"/>
        <v>1501.62</v>
      </c>
    </row>
    <row r="317" spans="1:10" ht="28.5" customHeight="1" x14ac:dyDescent="0.2">
      <c r="A317" s="63" t="s">
        <v>594</v>
      </c>
      <c r="B317" s="124" t="s">
        <v>996</v>
      </c>
      <c r="C317" s="64" t="s">
        <v>595</v>
      </c>
      <c r="D317" s="125" t="s">
        <v>168</v>
      </c>
      <c r="E317" s="65">
        <f>27+9</f>
        <v>36</v>
      </c>
      <c r="F317" s="65">
        <v>28.63</v>
      </c>
      <c r="G317" s="65">
        <f t="shared" si="41"/>
        <v>1030.68</v>
      </c>
      <c r="H317" s="126">
        <f t="shared" si="43"/>
        <v>35.79</v>
      </c>
      <c r="I317" s="126">
        <f t="shared" si="42"/>
        <v>1288.6500000000001</v>
      </c>
      <c r="J317" s="70">
        <f t="shared" si="40"/>
        <v>1030.68</v>
      </c>
    </row>
    <row r="318" spans="1:10" ht="27" customHeight="1" x14ac:dyDescent="0.2">
      <c r="A318" s="63" t="s">
        <v>596</v>
      </c>
      <c r="B318" s="124" t="s">
        <v>997</v>
      </c>
      <c r="C318" s="64" t="s">
        <v>597</v>
      </c>
      <c r="D318" s="125" t="s">
        <v>168</v>
      </c>
      <c r="E318" s="65">
        <f>42+25</f>
        <v>67</v>
      </c>
      <c r="F318" s="65">
        <v>43.87</v>
      </c>
      <c r="G318" s="65">
        <f t="shared" si="41"/>
        <v>2939.29</v>
      </c>
      <c r="H318" s="126">
        <f t="shared" si="43"/>
        <v>54.85</v>
      </c>
      <c r="I318" s="126">
        <f t="shared" si="42"/>
        <v>3674.99</v>
      </c>
      <c r="J318" s="70">
        <f t="shared" si="40"/>
        <v>2939.29</v>
      </c>
    </row>
    <row r="319" spans="1:10" ht="25.5" x14ac:dyDescent="0.2">
      <c r="A319" s="63" t="s">
        <v>598</v>
      </c>
      <c r="B319" s="124" t="s">
        <v>599</v>
      </c>
      <c r="C319" s="64" t="s">
        <v>600</v>
      </c>
      <c r="D319" s="125" t="s">
        <v>168</v>
      </c>
      <c r="E319" s="65">
        <f>17+2</f>
        <v>19</v>
      </c>
      <c r="F319" s="65">
        <v>106.07</v>
      </c>
      <c r="G319" s="65">
        <f t="shared" si="41"/>
        <v>2015.33</v>
      </c>
      <c r="H319" s="126">
        <f t="shared" si="43"/>
        <v>132.61000000000001</v>
      </c>
      <c r="I319" s="126">
        <f t="shared" si="42"/>
        <v>2519.7600000000002</v>
      </c>
      <c r="J319" s="70">
        <f t="shared" si="40"/>
        <v>2015.33</v>
      </c>
    </row>
    <row r="320" spans="1:10" x14ac:dyDescent="0.2">
      <c r="A320" s="63" t="s">
        <v>601</v>
      </c>
      <c r="B320" s="124" t="s">
        <v>602</v>
      </c>
      <c r="C320" s="64" t="s">
        <v>603</v>
      </c>
      <c r="D320" s="125" t="s">
        <v>168</v>
      </c>
      <c r="E320" s="65">
        <f>726+320</f>
        <v>1046</v>
      </c>
      <c r="F320" s="65">
        <v>22.54</v>
      </c>
      <c r="G320" s="65">
        <f t="shared" si="41"/>
        <v>23576.84</v>
      </c>
      <c r="H320" s="126">
        <f t="shared" si="43"/>
        <v>28.18</v>
      </c>
      <c r="I320" s="126">
        <f t="shared" si="42"/>
        <v>29478.12</v>
      </c>
      <c r="J320" s="70">
        <f t="shared" si="40"/>
        <v>23576.84</v>
      </c>
    </row>
    <row r="321" spans="1:10" x14ac:dyDescent="0.2">
      <c r="A321" s="63" t="s">
        <v>604</v>
      </c>
      <c r="B321" s="124" t="s">
        <v>605</v>
      </c>
      <c r="C321" s="64" t="s">
        <v>606</v>
      </c>
      <c r="D321" s="125" t="s">
        <v>168</v>
      </c>
      <c r="E321" s="65">
        <f>1232+625</f>
        <v>1857</v>
      </c>
      <c r="F321" s="65">
        <v>30.96</v>
      </c>
      <c r="G321" s="65">
        <f t="shared" si="41"/>
        <v>57492.72</v>
      </c>
      <c r="H321" s="126">
        <f t="shared" si="43"/>
        <v>38.700000000000003</v>
      </c>
      <c r="I321" s="126">
        <f t="shared" si="42"/>
        <v>71883.14</v>
      </c>
      <c r="J321" s="70">
        <f t="shared" si="40"/>
        <v>57492.72</v>
      </c>
    </row>
    <row r="322" spans="1:10" ht="24" x14ac:dyDescent="0.2">
      <c r="A322" s="63" t="s">
        <v>607</v>
      </c>
      <c r="B322" s="124" t="s">
        <v>608</v>
      </c>
      <c r="C322" s="64" t="s">
        <v>609</v>
      </c>
      <c r="D322" s="125" t="s">
        <v>168</v>
      </c>
      <c r="E322" s="65">
        <f>93+50</f>
        <v>143</v>
      </c>
      <c r="F322" s="65">
        <v>89.03</v>
      </c>
      <c r="G322" s="65">
        <f t="shared" si="41"/>
        <v>12731.29</v>
      </c>
      <c r="H322" s="126">
        <f t="shared" si="43"/>
        <v>111.31</v>
      </c>
      <c r="I322" s="126">
        <f t="shared" si="42"/>
        <v>15917.93</v>
      </c>
      <c r="J322" s="70">
        <f t="shared" si="40"/>
        <v>12731.29</v>
      </c>
    </row>
    <row r="323" spans="1:10" x14ac:dyDescent="0.2">
      <c r="A323" s="63" t="s">
        <v>610</v>
      </c>
      <c r="B323" s="124" t="s">
        <v>611</v>
      </c>
      <c r="C323" s="64" t="s">
        <v>612</v>
      </c>
      <c r="D323" s="125" t="s">
        <v>168</v>
      </c>
      <c r="E323" s="65">
        <f>10+5</f>
        <v>15</v>
      </c>
      <c r="F323" s="65">
        <v>142.61000000000001</v>
      </c>
      <c r="G323" s="65">
        <f t="shared" si="41"/>
        <v>2139.15</v>
      </c>
      <c r="H323" s="126">
        <f t="shared" si="43"/>
        <v>178.3</v>
      </c>
      <c r="I323" s="126">
        <f t="shared" si="42"/>
        <v>2674.57</v>
      </c>
      <c r="J323" s="70">
        <f t="shared" si="40"/>
        <v>2139.15</v>
      </c>
    </row>
    <row r="324" spans="1:10" x14ac:dyDescent="0.2">
      <c r="A324" s="63" t="s">
        <v>613</v>
      </c>
      <c r="B324" s="124" t="s">
        <v>998</v>
      </c>
      <c r="C324" s="64" t="s">
        <v>614</v>
      </c>
      <c r="D324" s="125" t="s">
        <v>168</v>
      </c>
      <c r="E324" s="65">
        <f>22+10</f>
        <v>32</v>
      </c>
      <c r="F324" s="65">
        <v>22.71</v>
      </c>
      <c r="G324" s="65">
        <f t="shared" si="41"/>
        <v>726.72</v>
      </c>
      <c r="H324" s="126">
        <f t="shared" si="43"/>
        <v>28.39</v>
      </c>
      <c r="I324" s="126">
        <f t="shared" si="42"/>
        <v>908.61</v>
      </c>
      <c r="J324" s="70">
        <f t="shared" si="40"/>
        <v>726.72</v>
      </c>
    </row>
    <row r="325" spans="1:10" ht="25.5" x14ac:dyDescent="0.2">
      <c r="A325" s="63" t="s">
        <v>615</v>
      </c>
      <c r="B325" s="124" t="s">
        <v>999</v>
      </c>
      <c r="C325" s="64" t="s">
        <v>616</v>
      </c>
      <c r="D325" s="125" t="s">
        <v>168</v>
      </c>
      <c r="E325" s="65">
        <f>20+10</f>
        <v>30</v>
      </c>
      <c r="F325" s="65">
        <v>26.94</v>
      </c>
      <c r="G325" s="65">
        <f t="shared" si="41"/>
        <v>808.2</v>
      </c>
      <c r="H325" s="126">
        <f t="shared" si="43"/>
        <v>33.68</v>
      </c>
      <c r="I325" s="126">
        <f t="shared" si="42"/>
        <v>1010.49</v>
      </c>
      <c r="J325" s="70">
        <f t="shared" si="40"/>
        <v>808.2</v>
      </c>
    </row>
    <row r="326" spans="1:10" x14ac:dyDescent="0.2">
      <c r="A326" s="63" t="s">
        <v>617</v>
      </c>
      <c r="B326" s="124" t="s">
        <v>1000</v>
      </c>
      <c r="C326" s="64" t="s">
        <v>1142</v>
      </c>
      <c r="D326" s="125" t="s">
        <v>168</v>
      </c>
      <c r="E326" s="65">
        <f>77+80</f>
        <v>157</v>
      </c>
      <c r="F326" s="65">
        <v>58.54</v>
      </c>
      <c r="G326" s="65">
        <f t="shared" si="41"/>
        <v>9190.7800000000007</v>
      </c>
      <c r="H326" s="126">
        <f t="shared" si="43"/>
        <v>73.19</v>
      </c>
      <c r="I326" s="126">
        <f t="shared" si="42"/>
        <v>11491.23</v>
      </c>
      <c r="J326" s="70">
        <f t="shared" si="40"/>
        <v>9190.7800000000007</v>
      </c>
    </row>
    <row r="327" spans="1:10" x14ac:dyDescent="0.2">
      <c r="A327" s="63" t="s">
        <v>618</v>
      </c>
      <c r="B327" s="124" t="s">
        <v>1001</v>
      </c>
      <c r="C327" s="64" t="s">
        <v>1143</v>
      </c>
      <c r="D327" s="125" t="s">
        <v>168</v>
      </c>
      <c r="E327" s="65">
        <f>154+160</f>
        <v>314</v>
      </c>
      <c r="F327" s="65">
        <v>58.27</v>
      </c>
      <c r="G327" s="65">
        <f t="shared" si="41"/>
        <v>18296.78</v>
      </c>
      <c r="H327" s="126">
        <f t="shared" si="43"/>
        <v>72.849999999999994</v>
      </c>
      <c r="I327" s="126">
        <f t="shared" si="42"/>
        <v>22876.46</v>
      </c>
      <c r="J327" s="70">
        <f t="shared" si="40"/>
        <v>18296.78</v>
      </c>
    </row>
    <row r="328" spans="1:10" ht="31.5" customHeight="1" x14ac:dyDescent="0.2">
      <c r="A328" s="63" t="s">
        <v>619</v>
      </c>
      <c r="B328" s="124" t="s">
        <v>1002</v>
      </c>
      <c r="C328" s="64" t="s">
        <v>620</v>
      </c>
      <c r="D328" s="125" t="s">
        <v>168</v>
      </c>
      <c r="E328" s="65">
        <f>9+5</f>
        <v>14</v>
      </c>
      <c r="F328" s="65">
        <v>157.47999999999999</v>
      </c>
      <c r="G328" s="65">
        <f t="shared" si="41"/>
        <v>2204.7199999999998</v>
      </c>
      <c r="H328" s="126">
        <f t="shared" si="43"/>
        <v>196.89</v>
      </c>
      <c r="I328" s="126">
        <f t="shared" si="42"/>
        <v>2756.56</v>
      </c>
      <c r="J328" s="70">
        <f t="shared" si="40"/>
        <v>2204.7199999999998</v>
      </c>
    </row>
    <row r="329" spans="1:10" ht="28.5" customHeight="1" x14ac:dyDescent="0.2">
      <c r="A329" s="63" t="s">
        <v>621</v>
      </c>
      <c r="B329" s="124" t="s">
        <v>1003</v>
      </c>
      <c r="C329" s="64" t="s">
        <v>622</v>
      </c>
      <c r="D329" s="125" t="s">
        <v>168</v>
      </c>
      <c r="E329" s="65">
        <f>13+8</f>
        <v>21</v>
      </c>
      <c r="F329" s="65">
        <v>115.55</v>
      </c>
      <c r="G329" s="65">
        <f t="shared" si="41"/>
        <v>2426.5500000000002</v>
      </c>
      <c r="H329" s="126">
        <f t="shared" si="43"/>
        <v>144.47</v>
      </c>
      <c r="I329" s="126">
        <f t="shared" si="42"/>
        <v>3033.91</v>
      </c>
      <c r="J329" s="70">
        <f t="shared" si="40"/>
        <v>2426.5500000000002</v>
      </c>
    </row>
    <row r="330" spans="1:10" ht="27.75" customHeight="1" x14ac:dyDescent="0.2">
      <c r="A330" s="63" t="s">
        <v>623</v>
      </c>
      <c r="B330" s="124" t="s">
        <v>624</v>
      </c>
      <c r="C330" s="64" t="s">
        <v>625</v>
      </c>
      <c r="D330" s="125" t="s">
        <v>267</v>
      </c>
      <c r="E330" s="65">
        <f>69.95+39</f>
        <v>108.95</v>
      </c>
      <c r="F330" s="65">
        <v>44.76</v>
      </c>
      <c r="G330" s="65">
        <f t="shared" si="41"/>
        <v>4876.6000000000004</v>
      </c>
      <c r="H330" s="126">
        <f t="shared" si="43"/>
        <v>55.96</v>
      </c>
      <c r="I330" s="126">
        <f t="shared" si="42"/>
        <v>6097.21</v>
      </c>
      <c r="J330" s="70">
        <f t="shared" si="40"/>
        <v>4876.6000000000004</v>
      </c>
    </row>
    <row r="331" spans="1:10" ht="40.5" customHeight="1" x14ac:dyDescent="0.2">
      <c r="A331" s="63" t="s">
        <v>626</v>
      </c>
      <c r="B331" s="124" t="s">
        <v>627</v>
      </c>
      <c r="C331" s="64" t="s">
        <v>628</v>
      </c>
      <c r="D331" s="125" t="s">
        <v>267</v>
      </c>
      <c r="E331" s="65">
        <f>42+24</f>
        <v>66</v>
      </c>
      <c r="F331" s="65">
        <v>88.06</v>
      </c>
      <c r="G331" s="65">
        <f t="shared" si="41"/>
        <v>5811.96</v>
      </c>
      <c r="H331" s="126">
        <f t="shared" si="43"/>
        <v>110.1</v>
      </c>
      <c r="I331" s="126">
        <f t="shared" si="42"/>
        <v>7266.69</v>
      </c>
      <c r="J331" s="70">
        <f t="shared" si="40"/>
        <v>5811.96</v>
      </c>
    </row>
    <row r="332" spans="1:10" ht="36" x14ac:dyDescent="0.2">
      <c r="A332" s="63" t="s">
        <v>629</v>
      </c>
      <c r="B332" s="124" t="s">
        <v>630</v>
      </c>
      <c r="C332" s="64" t="s">
        <v>631</v>
      </c>
      <c r="D332" s="125" t="s">
        <v>267</v>
      </c>
      <c r="E332" s="65">
        <f>83.95+45</f>
        <v>128.94999999999999</v>
      </c>
      <c r="F332" s="65">
        <v>82.18</v>
      </c>
      <c r="G332" s="65">
        <f t="shared" si="41"/>
        <v>10597.11</v>
      </c>
      <c r="H332" s="126">
        <f t="shared" si="43"/>
        <v>102.74</v>
      </c>
      <c r="I332" s="126">
        <f t="shared" si="42"/>
        <v>13249.56</v>
      </c>
      <c r="J332" s="70">
        <f t="shared" si="40"/>
        <v>10597.11</v>
      </c>
    </row>
    <row r="333" spans="1:10" x14ac:dyDescent="0.2">
      <c r="A333" s="63" t="s">
        <v>632</v>
      </c>
      <c r="B333" s="124" t="s">
        <v>633</v>
      </c>
      <c r="C333" s="64" t="s">
        <v>634</v>
      </c>
      <c r="D333" s="125" t="s">
        <v>168</v>
      </c>
      <c r="E333" s="65">
        <f>17+16</f>
        <v>33</v>
      </c>
      <c r="F333" s="65">
        <v>210.25</v>
      </c>
      <c r="G333" s="65">
        <f t="shared" si="41"/>
        <v>6938.25</v>
      </c>
      <c r="H333" s="126">
        <f t="shared" si="43"/>
        <v>262.87</v>
      </c>
      <c r="I333" s="126">
        <f t="shared" si="42"/>
        <v>8674.89</v>
      </c>
      <c r="J333" s="70">
        <f t="shared" si="40"/>
        <v>6938.25</v>
      </c>
    </row>
    <row r="334" spans="1:10" ht="41.25" customHeight="1" x14ac:dyDescent="0.2">
      <c r="A334" s="63" t="s">
        <v>635</v>
      </c>
      <c r="B334" s="124" t="s">
        <v>473</v>
      </c>
      <c r="C334" s="64" t="s">
        <v>474</v>
      </c>
      <c r="D334" s="125" t="s">
        <v>168</v>
      </c>
      <c r="E334" s="65">
        <f>3+2</f>
        <v>5</v>
      </c>
      <c r="F334" s="65">
        <v>627.46</v>
      </c>
      <c r="G334" s="65">
        <f t="shared" si="41"/>
        <v>3137.3</v>
      </c>
      <c r="H334" s="126">
        <f t="shared" si="43"/>
        <v>784.51</v>
      </c>
      <c r="I334" s="126">
        <f t="shared" si="42"/>
        <v>3922.56</v>
      </c>
      <c r="J334" s="70">
        <f t="shared" si="40"/>
        <v>3137.3</v>
      </c>
    </row>
    <row r="335" spans="1:10" ht="27" customHeight="1" x14ac:dyDescent="0.2">
      <c r="A335" s="63" t="s">
        <v>636</v>
      </c>
      <c r="B335" s="124" t="s">
        <v>637</v>
      </c>
      <c r="C335" s="64" t="s">
        <v>638</v>
      </c>
      <c r="D335" s="125" t="s">
        <v>168</v>
      </c>
      <c r="E335" s="65">
        <f>14+8</f>
        <v>22</v>
      </c>
      <c r="F335" s="65">
        <v>123.58</v>
      </c>
      <c r="G335" s="65">
        <f t="shared" si="41"/>
        <v>2718.76</v>
      </c>
      <c r="H335" s="126">
        <f t="shared" si="43"/>
        <v>154.51</v>
      </c>
      <c r="I335" s="126">
        <f t="shared" si="42"/>
        <v>3399.26</v>
      </c>
      <c r="J335" s="70">
        <f t="shared" si="40"/>
        <v>2718.76</v>
      </c>
    </row>
    <row r="336" spans="1:10" ht="18" customHeight="1" x14ac:dyDescent="0.2">
      <c r="A336" s="63" t="s">
        <v>639</v>
      </c>
      <c r="B336" s="124" t="s">
        <v>945</v>
      </c>
      <c r="C336" s="64" t="s">
        <v>476</v>
      </c>
      <c r="D336" s="125" t="s">
        <v>9</v>
      </c>
      <c r="E336" s="65">
        <f>11.2+6.25</f>
        <v>17.45</v>
      </c>
      <c r="F336" s="65">
        <v>68.790000000000006</v>
      </c>
      <c r="G336" s="65">
        <f t="shared" si="41"/>
        <v>1200.3800000000001</v>
      </c>
      <c r="H336" s="126">
        <f t="shared" si="43"/>
        <v>86</v>
      </c>
      <c r="I336" s="126">
        <f t="shared" si="42"/>
        <v>1500.83</v>
      </c>
      <c r="J336" s="70">
        <f t="shared" si="40"/>
        <v>1200.3800000000001</v>
      </c>
    </row>
    <row r="337" spans="1:10" ht="18" customHeight="1" x14ac:dyDescent="0.2">
      <c r="A337" s="63" t="s">
        <v>640</v>
      </c>
      <c r="B337" s="124" t="s">
        <v>946</v>
      </c>
      <c r="C337" s="64" t="s">
        <v>478</v>
      </c>
      <c r="D337" s="125" t="s">
        <v>9</v>
      </c>
      <c r="E337" s="65">
        <f>5.6+3.1</f>
        <v>8.6999999999999993</v>
      </c>
      <c r="F337" s="65">
        <v>41.71</v>
      </c>
      <c r="G337" s="65">
        <f t="shared" si="41"/>
        <v>362.87</v>
      </c>
      <c r="H337" s="126">
        <f t="shared" si="43"/>
        <v>52.15</v>
      </c>
      <c r="I337" s="126">
        <f t="shared" si="42"/>
        <v>453.69</v>
      </c>
      <c r="J337" s="70">
        <f t="shared" si="40"/>
        <v>362.87</v>
      </c>
    </row>
    <row r="338" spans="1:10" x14ac:dyDescent="0.2">
      <c r="A338" s="127" t="s">
        <v>641</v>
      </c>
      <c r="B338" s="128"/>
      <c r="C338" s="66" t="s">
        <v>1053</v>
      </c>
      <c r="D338" s="66"/>
      <c r="E338" s="141"/>
      <c r="F338" s="143">
        <f>F339+F340+F341</f>
        <v>737.96</v>
      </c>
      <c r="G338" s="143">
        <f>G339+G340+G341</f>
        <v>2747.4</v>
      </c>
      <c r="H338" s="129">
        <f>H339+H340+H341</f>
        <v>922.66</v>
      </c>
      <c r="I338" s="129">
        <f>SUM(I339:I341)</f>
        <v>3435.0600000000004</v>
      </c>
      <c r="J338" s="75">
        <f>SUM(J339:J341)</f>
        <v>2747.4</v>
      </c>
    </row>
    <row r="339" spans="1:10" ht="43.5" customHeight="1" x14ac:dyDescent="0.2">
      <c r="A339" s="63" t="s">
        <v>1104</v>
      </c>
      <c r="B339" s="124" t="s">
        <v>473</v>
      </c>
      <c r="C339" s="64" t="s">
        <v>474</v>
      </c>
      <c r="D339" s="125" t="s">
        <v>168</v>
      </c>
      <c r="E339" s="65">
        <f>3+1</f>
        <v>4</v>
      </c>
      <c r="F339" s="65">
        <v>627.46</v>
      </c>
      <c r="G339" s="65">
        <f t="shared" si="41"/>
        <v>2509.84</v>
      </c>
      <c r="H339" s="126">
        <f t="shared" si="43"/>
        <v>784.51</v>
      </c>
      <c r="I339" s="126">
        <f t="shared" si="42"/>
        <v>3138.05</v>
      </c>
      <c r="J339" s="70">
        <f>TRUNC(F339 * E339, 2)</f>
        <v>2509.84</v>
      </c>
    </row>
    <row r="340" spans="1:10" x14ac:dyDescent="0.2">
      <c r="A340" s="63" t="s">
        <v>775</v>
      </c>
      <c r="B340" s="124" t="s">
        <v>1004</v>
      </c>
      <c r="C340" s="64" t="s">
        <v>476</v>
      </c>
      <c r="D340" s="125" t="s">
        <v>9</v>
      </c>
      <c r="E340" s="65">
        <f>1.4+0.75</f>
        <v>2.15</v>
      </c>
      <c r="F340" s="65">
        <v>68.790000000000006</v>
      </c>
      <c r="G340" s="65">
        <f t="shared" si="41"/>
        <v>147.88999999999999</v>
      </c>
      <c r="H340" s="126">
        <f t="shared" si="43"/>
        <v>86</v>
      </c>
      <c r="I340" s="126">
        <f t="shared" si="42"/>
        <v>184.9</v>
      </c>
      <c r="J340" s="70">
        <f>TRUNC(F340 * E340, 2)</f>
        <v>147.88999999999999</v>
      </c>
    </row>
    <row r="341" spans="1:10" x14ac:dyDescent="0.2">
      <c r="A341" s="63" t="s">
        <v>1105</v>
      </c>
      <c r="B341" s="124" t="s">
        <v>946</v>
      </c>
      <c r="C341" s="64" t="s">
        <v>478</v>
      </c>
      <c r="D341" s="125" t="s">
        <v>9</v>
      </c>
      <c r="E341" s="65">
        <f>1.4+0.75</f>
        <v>2.15</v>
      </c>
      <c r="F341" s="65">
        <v>41.71</v>
      </c>
      <c r="G341" s="65">
        <f t="shared" si="41"/>
        <v>89.67</v>
      </c>
      <c r="H341" s="126">
        <f t="shared" si="43"/>
        <v>52.15</v>
      </c>
      <c r="I341" s="126">
        <f t="shared" si="42"/>
        <v>112.11</v>
      </c>
      <c r="J341" s="70">
        <f>TRUNC(F341 * E341, 2)</f>
        <v>89.67</v>
      </c>
    </row>
    <row r="342" spans="1:10" x14ac:dyDescent="0.2">
      <c r="A342" s="127" t="s">
        <v>642</v>
      </c>
      <c r="B342" s="128"/>
      <c r="C342" s="66" t="s">
        <v>1054</v>
      </c>
      <c r="D342" s="66"/>
      <c r="E342" s="141"/>
      <c r="F342" s="143">
        <f>SUM(F343:F357)</f>
        <v>1448.68</v>
      </c>
      <c r="G342" s="143">
        <f>SUM(G343:G357)</f>
        <v>48599.420000000006</v>
      </c>
      <c r="H342" s="129">
        <f>SUM(H343:H357)</f>
        <v>1811.22</v>
      </c>
      <c r="I342" s="129">
        <f>SUM(I343:I357)</f>
        <v>60763.80000000001</v>
      </c>
      <c r="J342" s="75">
        <f>SUM(J343:J357)</f>
        <v>48599.420000000006</v>
      </c>
    </row>
    <row r="343" spans="1:10" x14ac:dyDescent="0.2">
      <c r="A343" s="63" t="s">
        <v>643</v>
      </c>
      <c r="B343" s="124" t="s">
        <v>1005</v>
      </c>
      <c r="C343" s="64" t="s">
        <v>644</v>
      </c>
      <c r="D343" s="125" t="s">
        <v>168</v>
      </c>
      <c r="E343" s="65">
        <f>3+1</f>
        <v>4</v>
      </c>
      <c r="F343" s="65">
        <v>142.12</v>
      </c>
      <c r="G343" s="65">
        <f t="shared" si="41"/>
        <v>568.48</v>
      </c>
      <c r="H343" s="126">
        <f t="shared" si="43"/>
        <v>177.69</v>
      </c>
      <c r="I343" s="126">
        <f t="shared" si="42"/>
        <v>710.77</v>
      </c>
      <c r="J343" s="70">
        <f>TRUNC(F343 * E343, 2)</f>
        <v>568.48</v>
      </c>
    </row>
    <row r="344" spans="1:10" x14ac:dyDescent="0.2">
      <c r="A344" s="63" t="s">
        <v>645</v>
      </c>
      <c r="B344" s="124" t="s">
        <v>1006</v>
      </c>
      <c r="C344" s="64" t="s">
        <v>646</v>
      </c>
      <c r="D344" s="125" t="s">
        <v>168</v>
      </c>
      <c r="E344" s="65">
        <f>3+1</f>
        <v>4</v>
      </c>
      <c r="F344" s="65">
        <v>169.77</v>
      </c>
      <c r="G344" s="65">
        <f t="shared" si="41"/>
        <v>679.08</v>
      </c>
      <c r="H344" s="126">
        <f t="shared" si="43"/>
        <v>212.26</v>
      </c>
      <c r="I344" s="126">
        <f t="shared" si="42"/>
        <v>849.05</v>
      </c>
      <c r="J344" s="70">
        <f t="shared" ref="J344:J357" si="44">TRUNC(F344 * E344, 2)</f>
        <v>679.08</v>
      </c>
    </row>
    <row r="345" spans="1:10" x14ac:dyDescent="0.2">
      <c r="A345" s="63" t="s">
        <v>647</v>
      </c>
      <c r="B345" s="124" t="s">
        <v>648</v>
      </c>
      <c r="C345" s="64" t="s">
        <v>649</v>
      </c>
      <c r="D345" s="125" t="s">
        <v>168</v>
      </c>
      <c r="E345" s="65">
        <f>16+8</f>
        <v>24</v>
      </c>
      <c r="F345" s="65">
        <v>8.57</v>
      </c>
      <c r="G345" s="65">
        <f t="shared" si="41"/>
        <v>205.68</v>
      </c>
      <c r="H345" s="126">
        <f t="shared" si="43"/>
        <v>10.71</v>
      </c>
      <c r="I345" s="126">
        <f t="shared" si="42"/>
        <v>257.16000000000003</v>
      </c>
      <c r="J345" s="70">
        <f t="shared" si="44"/>
        <v>205.68</v>
      </c>
    </row>
    <row r="346" spans="1:10" x14ac:dyDescent="0.2">
      <c r="A346" s="63" t="s">
        <v>650</v>
      </c>
      <c r="B346" s="124" t="s">
        <v>651</v>
      </c>
      <c r="C346" s="64" t="s">
        <v>652</v>
      </c>
      <c r="D346" s="125" t="s">
        <v>168</v>
      </c>
      <c r="E346" s="65">
        <f>47+24</f>
        <v>71</v>
      </c>
      <c r="F346" s="65">
        <v>167.33</v>
      </c>
      <c r="G346" s="65">
        <f t="shared" si="41"/>
        <v>11880.43</v>
      </c>
      <c r="H346" s="126">
        <f t="shared" si="43"/>
        <v>209.21</v>
      </c>
      <c r="I346" s="126">
        <f t="shared" si="42"/>
        <v>14854.1</v>
      </c>
      <c r="J346" s="70">
        <f t="shared" si="44"/>
        <v>11880.43</v>
      </c>
    </row>
    <row r="347" spans="1:10" ht="24" x14ac:dyDescent="0.2">
      <c r="A347" s="63" t="s">
        <v>653</v>
      </c>
      <c r="B347" s="124" t="s">
        <v>654</v>
      </c>
      <c r="C347" s="64" t="s">
        <v>655</v>
      </c>
      <c r="D347" s="125" t="s">
        <v>168</v>
      </c>
      <c r="E347" s="65">
        <f>84+47</f>
        <v>131</v>
      </c>
      <c r="F347" s="65">
        <v>6.7</v>
      </c>
      <c r="G347" s="65">
        <f t="shared" si="41"/>
        <v>877.7</v>
      </c>
      <c r="H347" s="126">
        <f t="shared" si="43"/>
        <v>8.3699999999999992</v>
      </c>
      <c r="I347" s="126">
        <f t="shared" si="42"/>
        <v>1097.3800000000001</v>
      </c>
      <c r="J347" s="70">
        <f t="shared" si="44"/>
        <v>877.7</v>
      </c>
    </row>
    <row r="348" spans="1:10" x14ac:dyDescent="0.2">
      <c r="A348" s="63" t="s">
        <v>656</v>
      </c>
      <c r="B348" s="124" t="s">
        <v>657</v>
      </c>
      <c r="C348" s="64" t="s">
        <v>658</v>
      </c>
      <c r="D348" s="125" t="s">
        <v>168</v>
      </c>
      <c r="E348" s="65">
        <f>16+8</f>
        <v>24</v>
      </c>
      <c r="F348" s="65">
        <v>19.72</v>
      </c>
      <c r="G348" s="65">
        <f t="shared" si="41"/>
        <v>473.28</v>
      </c>
      <c r="H348" s="126">
        <f t="shared" si="43"/>
        <v>24.65</v>
      </c>
      <c r="I348" s="126">
        <f t="shared" si="42"/>
        <v>591.74</v>
      </c>
      <c r="J348" s="70">
        <f t="shared" si="44"/>
        <v>473.28</v>
      </c>
    </row>
    <row r="349" spans="1:10" x14ac:dyDescent="0.2">
      <c r="A349" s="63" t="s">
        <v>659</v>
      </c>
      <c r="B349" s="124" t="s">
        <v>660</v>
      </c>
      <c r="C349" s="64" t="s">
        <v>661</v>
      </c>
      <c r="D349" s="125" t="s">
        <v>168</v>
      </c>
      <c r="E349" s="65">
        <f>84+47</f>
        <v>131</v>
      </c>
      <c r="F349" s="65">
        <v>7.32</v>
      </c>
      <c r="G349" s="65">
        <f t="shared" si="41"/>
        <v>958.92</v>
      </c>
      <c r="H349" s="126">
        <f t="shared" si="43"/>
        <v>9.15</v>
      </c>
      <c r="I349" s="126">
        <f t="shared" si="42"/>
        <v>1198.93</v>
      </c>
      <c r="J349" s="70">
        <f t="shared" si="44"/>
        <v>958.92</v>
      </c>
    </row>
    <row r="350" spans="1:10" x14ac:dyDescent="0.2">
      <c r="A350" s="63" t="s">
        <v>662</v>
      </c>
      <c r="B350" s="124" t="s">
        <v>663</v>
      </c>
      <c r="C350" s="64" t="s">
        <v>664</v>
      </c>
      <c r="D350" s="125" t="s">
        <v>267</v>
      </c>
      <c r="E350" s="65">
        <f>30+15.6</f>
        <v>45.6</v>
      </c>
      <c r="F350" s="65">
        <v>59.43</v>
      </c>
      <c r="G350" s="65">
        <f t="shared" si="41"/>
        <v>2710</v>
      </c>
      <c r="H350" s="126">
        <f t="shared" si="43"/>
        <v>74.3</v>
      </c>
      <c r="I350" s="126">
        <f t="shared" si="42"/>
        <v>3388.31</v>
      </c>
      <c r="J350" s="70">
        <f t="shared" si="44"/>
        <v>2710</v>
      </c>
    </row>
    <row r="351" spans="1:10" ht="28.5" customHeight="1" x14ac:dyDescent="0.2">
      <c r="A351" s="63" t="s">
        <v>665</v>
      </c>
      <c r="B351" s="124" t="s">
        <v>666</v>
      </c>
      <c r="C351" s="64" t="s">
        <v>667</v>
      </c>
      <c r="D351" s="125" t="s">
        <v>267</v>
      </c>
      <c r="E351" s="65">
        <f>132+62.35</f>
        <v>194.35</v>
      </c>
      <c r="F351" s="65">
        <v>66.56</v>
      </c>
      <c r="G351" s="65">
        <f t="shared" si="41"/>
        <v>12935.93</v>
      </c>
      <c r="H351" s="126">
        <f t="shared" si="43"/>
        <v>83.21</v>
      </c>
      <c r="I351" s="126">
        <f t="shared" si="42"/>
        <v>16173.79</v>
      </c>
      <c r="J351" s="70">
        <f t="shared" si="44"/>
        <v>12935.93</v>
      </c>
    </row>
    <row r="352" spans="1:10" ht="17.25" customHeight="1" x14ac:dyDescent="0.2">
      <c r="A352" s="63" t="s">
        <v>668</v>
      </c>
      <c r="B352" s="124" t="s">
        <v>1007</v>
      </c>
      <c r="C352" s="64" t="s">
        <v>669</v>
      </c>
      <c r="D352" s="125" t="s">
        <v>168</v>
      </c>
      <c r="E352" s="65">
        <f>14+8</f>
        <v>22</v>
      </c>
      <c r="F352" s="65">
        <v>91.14</v>
      </c>
      <c r="G352" s="65">
        <f t="shared" si="41"/>
        <v>2005.08</v>
      </c>
      <c r="H352" s="126">
        <f t="shared" si="43"/>
        <v>113.95</v>
      </c>
      <c r="I352" s="126">
        <f t="shared" si="42"/>
        <v>2506.9499999999998</v>
      </c>
      <c r="J352" s="70">
        <f t="shared" si="44"/>
        <v>2005.08</v>
      </c>
    </row>
    <row r="353" spans="1:10" ht="17.25" customHeight="1" x14ac:dyDescent="0.2">
      <c r="A353" s="63" t="s">
        <v>670</v>
      </c>
      <c r="B353" s="124" t="s">
        <v>671</v>
      </c>
      <c r="C353" s="64" t="s">
        <v>672</v>
      </c>
      <c r="D353" s="125" t="s">
        <v>168</v>
      </c>
      <c r="E353" s="65">
        <f>14+8</f>
        <v>22</v>
      </c>
      <c r="F353" s="65">
        <v>394.37</v>
      </c>
      <c r="G353" s="65">
        <f t="shared" si="41"/>
        <v>8676.14</v>
      </c>
      <c r="H353" s="126">
        <f t="shared" si="43"/>
        <v>493.08</v>
      </c>
      <c r="I353" s="126">
        <f t="shared" si="42"/>
        <v>10847.77</v>
      </c>
      <c r="J353" s="70">
        <f t="shared" si="44"/>
        <v>8676.14</v>
      </c>
    </row>
    <row r="354" spans="1:10" ht="29.25" customHeight="1" x14ac:dyDescent="0.2">
      <c r="A354" s="63" t="s">
        <v>673</v>
      </c>
      <c r="B354" s="124" t="s">
        <v>1008</v>
      </c>
      <c r="C354" s="64" t="s">
        <v>674</v>
      </c>
      <c r="D354" s="125" t="s">
        <v>168</v>
      </c>
      <c r="E354" s="65">
        <f>14+8</f>
        <v>22</v>
      </c>
      <c r="F354" s="65">
        <v>185.76</v>
      </c>
      <c r="G354" s="65">
        <f t="shared" si="41"/>
        <v>4086.72</v>
      </c>
      <c r="H354" s="126">
        <f t="shared" si="43"/>
        <v>232.25</v>
      </c>
      <c r="I354" s="126">
        <f t="shared" si="42"/>
        <v>5109.62</v>
      </c>
      <c r="J354" s="70">
        <f t="shared" si="44"/>
        <v>4086.72</v>
      </c>
    </row>
    <row r="355" spans="1:10" ht="18" customHeight="1" x14ac:dyDescent="0.2">
      <c r="A355" s="63" t="s">
        <v>675</v>
      </c>
      <c r="B355" s="124" t="s">
        <v>676</v>
      </c>
      <c r="C355" s="64" t="s">
        <v>677</v>
      </c>
      <c r="D355" s="125" t="s">
        <v>168</v>
      </c>
      <c r="E355" s="65">
        <f>6+4</f>
        <v>10</v>
      </c>
      <c r="F355" s="65">
        <v>19.39</v>
      </c>
      <c r="G355" s="65">
        <f t="shared" si="41"/>
        <v>193.9</v>
      </c>
      <c r="H355" s="126">
        <f t="shared" si="43"/>
        <v>24.24</v>
      </c>
      <c r="I355" s="126">
        <f t="shared" si="42"/>
        <v>242.43</v>
      </c>
      <c r="J355" s="70">
        <f t="shared" si="44"/>
        <v>193.9</v>
      </c>
    </row>
    <row r="356" spans="1:10" ht="18" customHeight="1" x14ac:dyDescent="0.2">
      <c r="A356" s="63" t="s">
        <v>678</v>
      </c>
      <c r="B356" s="124" t="s">
        <v>945</v>
      </c>
      <c r="C356" s="64" t="s">
        <v>476</v>
      </c>
      <c r="D356" s="125" t="s">
        <v>9</v>
      </c>
      <c r="E356" s="65">
        <f>14.45+7.8</f>
        <v>22.25</v>
      </c>
      <c r="F356" s="65">
        <v>68.790000000000006</v>
      </c>
      <c r="G356" s="65">
        <f t="shared" si="41"/>
        <v>1530.57</v>
      </c>
      <c r="H356" s="126">
        <f t="shared" si="43"/>
        <v>86</v>
      </c>
      <c r="I356" s="126">
        <f t="shared" si="42"/>
        <v>1913.67</v>
      </c>
      <c r="J356" s="70">
        <f t="shared" si="44"/>
        <v>1530.57</v>
      </c>
    </row>
    <row r="357" spans="1:10" ht="16.5" customHeight="1" x14ac:dyDescent="0.2">
      <c r="A357" s="63" t="s">
        <v>679</v>
      </c>
      <c r="B357" s="124" t="s">
        <v>946</v>
      </c>
      <c r="C357" s="64" t="s">
        <v>478</v>
      </c>
      <c r="D357" s="125" t="s">
        <v>9</v>
      </c>
      <c r="E357" s="65">
        <f>12.6+7</f>
        <v>19.600000000000001</v>
      </c>
      <c r="F357" s="65">
        <v>41.71</v>
      </c>
      <c r="G357" s="65">
        <f t="shared" si="41"/>
        <v>817.51</v>
      </c>
      <c r="H357" s="126">
        <f t="shared" si="43"/>
        <v>52.15</v>
      </c>
      <c r="I357" s="126">
        <f t="shared" si="42"/>
        <v>1022.13</v>
      </c>
      <c r="J357" s="70">
        <f t="shared" si="44"/>
        <v>817.51</v>
      </c>
    </row>
    <row r="358" spans="1:10" x14ac:dyDescent="0.2">
      <c r="A358" s="127" t="s">
        <v>680</v>
      </c>
      <c r="B358" s="128"/>
      <c r="C358" s="66" t="s">
        <v>1055</v>
      </c>
      <c r="D358" s="66"/>
      <c r="E358" s="141"/>
      <c r="F358" s="143">
        <f>SUM(F359:F372)</f>
        <v>3098.2700000000004</v>
      </c>
      <c r="G358" s="143">
        <f>SUM(G359:G372)</f>
        <v>24563.990000000005</v>
      </c>
      <c r="H358" s="129">
        <f>SUM(H359:H372)</f>
        <v>3873.71</v>
      </c>
      <c r="I358" s="129">
        <f>SUM(I359:I372)</f>
        <v>30712.3</v>
      </c>
      <c r="J358" s="75">
        <f>SUM(J359:J372)</f>
        <v>24563.990000000005</v>
      </c>
    </row>
    <row r="359" spans="1:10" ht="28.5" customHeight="1" x14ac:dyDescent="0.2">
      <c r="A359" s="63" t="s">
        <v>681</v>
      </c>
      <c r="B359" s="124" t="s">
        <v>1009</v>
      </c>
      <c r="C359" s="64" t="s">
        <v>682</v>
      </c>
      <c r="D359" s="125" t="s">
        <v>267</v>
      </c>
      <c r="E359" s="65">
        <f>30+10</f>
        <v>40</v>
      </c>
      <c r="F359" s="65">
        <v>28.42</v>
      </c>
      <c r="G359" s="65">
        <f t="shared" si="41"/>
        <v>1136.8</v>
      </c>
      <c r="H359" s="126">
        <f t="shared" si="43"/>
        <v>35.53</v>
      </c>
      <c r="I359" s="126">
        <f t="shared" si="42"/>
        <v>1421.34</v>
      </c>
      <c r="J359" s="70">
        <f>TRUNC(F359 * E359, 2)</f>
        <v>1136.8</v>
      </c>
    </row>
    <row r="360" spans="1:10" ht="25.5" x14ac:dyDescent="0.2">
      <c r="A360" s="63" t="s">
        <v>683</v>
      </c>
      <c r="B360" s="124" t="s">
        <v>1010</v>
      </c>
      <c r="C360" s="64" t="s">
        <v>684</v>
      </c>
      <c r="D360" s="125" t="s">
        <v>168</v>
      </c>
      <c r="E360" s="65">
        <f>8+5</f>
        <v>13</v>
      </c>
      <c r="F360" s="65">
        <v>38.21</v>
      </c>
      <c r="G360" s="65">
        <f t="shared" si="41"/>
        <v>496.73</v>
      </c>
      <c r="H360" s="126">
        <f t="shared" si="43"/>
        <v>47.77</v>
      </c>
      <c r="I360" s="126">
        <f t="shared" si="42"/>
        <v>621.05999999999995</v>
      </c>
      <c r="J360" s="70">
        <f t="shared" ref="J360:J372" si="45">TRUNC(F360 * E360, 2)</f>
        <v>496.73</v>
      </c>
    </row>
    <row r="361" spans="1:10" ht="29.25" customHeight="1" x14ac:dyDescent="0.2">
      <c r="A361" s="63" t="s">
        <v>685</v>
      </c>
      <c r="B361" s="124" t="s">
        <v>1011</v>
      </c>
      <c r="C361" s="64" t="s">
        <v>686</v>
      </c>
      <c r="D361" s="125" t="s">
        <v>168</v>
      </c>
      <c r="E361" s="65">
        <f>17+9</f>
        <v>26</v>
      </c>
      <c r="F361" s="65">
        <v>24.48</v>
      </c>
      <c r="G361" s="65">
        <f t="shared" si="41"/>
        <v>636.48</v>
      </c>
      <c r="H361" s="126">
        <f t="shared" si="43"/>
        <v>30.6</v>
      </c>
      <c r="I361" s="126">
        <f t="shared" si="42"/>
        <v>795.79</v>
      </c>
      <c r="J361" s="70">
        <f t="shared" si="45"/>
        <v>636.48</v>
      </c>
    </row>
    <row r="362" spans="1:10" x14ac:dyDescent="0.2">
      <c r="A362" s="63" t="s">
        <v>687</v>
      </c>
      <c r="B362" s="124" t="s">
        <v>688</v>
      </c>
      <c r="C362" s="64" t="s">
        <v>689</v>
      </c>
      <c r="D362" s="125" t="s">
        <v>168</v>
      </c>
      <c r="E362" s="65">
        <f>17+9</f>
        <v>26</v>
      </c>
      <c r="F362" s="65">
        <v>20.22</v>
      </c>
      <c r="G362" s="65">
        <f t="shared" si="41"/>
        <v>525.72</v>
      </c>
      <c r="H362" s="126">
        <f t="shared" si="43"/>
        <v>25.28</v>
      </c>
      <c r="I362" s="126">
        <f t="shared" si="42"/>
        <v>657.3</v>
      </c>
      <c r="J362" s="70">
        <f t="shared" si="45"/>
        <v>525.72</v>
      </c>
    </row>
    <row r="363" spans="1:10" ht="18" customHeight="1" x14ac:dyDescent="0.2">
      <c r="A363" s="63" t="s">
        <v>690</v>
      </c>
      <c r="B363" s="124" t="s">
        <v>691</v>
      </c>
      <c r="C363" s="64" t="s">
        <v>692</v>
      </c>
      <c r="D363" s="125" t="s">
        <v>168</v>
      </c>
      <c r="E363" s="65">
        <f>8+5</f>
        <v>13</v>
      </c>
      <c r="F363" s="65">
        <v>14.31</v>
      </c>
      <c r="G363" s="65">
        <f t="shared" si="41"/>
        <v>186.03</v>
      </c>
      <c r="H363" s="126">
        <f t="shared" si="43"/>
        <v>17.89</v>
      </c>
      <c r="I363" s="126">
        <f t="shared" si="42"/>
        <v>232.59</v>
      </c>
      <c r="J363" s="70">
        <f t="shared" si="45"/>
        <v>186.03</v>
      </c>
    </row>
    <row r="364" spans="1:10" ht="45" customHeight="1" x14ac:dyDescent="0.2">
      <c r="A364" s="63" t="s">
        <v>693</v>
      </c>
      <c r="B364" s="124" t="s">
        <v>473</v>
      </c>
      <c r="C364" s="64" t="s">
        <v>474</v>
      </c>
      <c r="D364" s="125" t="s">
        <v>168</v>
      </c>
      <c r="E364" s="65">
        <f>4+3</f>
        <v>7</v>
      </c>
      <c r="F364" s="65">
        <v>627.46</v>
      </c>
      <c r="G364" s="65">
        <f t="shared" si="41"/>
        <v>4392.22</v>
      </c>
      <c r="H364" s="126">
        <f t="shared" si="43"/>
        <v>784.51</v>
      </c>
      <c r="I364" s="126">
        <f t="shared" si="42"/>
        <v>5491.59</v>
      </c>
      <c r="J364" s="70">
        <f t="shared" si="45"/>
        <v>4392.22</v>
      </c>
    </row>
    <row r="365" spans="1:10" ht="16.5" customHeight="1" x14ac:dyDescent="0.2">
      <c r="A365" s="63" t="s">
        <v>694</v>
      </c>
      <c r="B365" s="124" t="s">
        <v>945</v>
      </c>
      <c r="C365" s="64" t="s">
        <v>476</v>
      </c>
      <c r="D365" s="125" t="s">
        <v>9</v>
      </c>
      <c r="E365" s="65">
        <f>5.6+3.1</f>
        <v>8.6999999999999993</v>
      </c>
      <c r="F365" s="65">
        <v>68.790000000000006</v>
      </c>
      <c r="G365" s="65">
        <f t="shared" si="41"/>
        <v>598.47</v>
      </c>
      <c r="H365" s="126">
        <f t="shared" si="43"/>
        <v>86</v>
      </c>
      <c r="I365" s="126">
        <f t="shared" si="42"/>
        <v>748.26</v>
      </c>
      <c r="J365" s="70">
        <f t="shared" si="45"/>
        <v>598.47</v>
      </c>
    </row>
    <row r="366" spans="1:10" ht="15.75" customHeight="1" x14ac:dyDescent="0.2">
      <c r="A366" s="63" t="s">
        <v>695</v>
      </c>
      <c r="B366" s="124" t="s">
        <v>946</v>
      </c>
      <c r="C366" s="64" t="s">
        <v>478</v>
      </c>
      <c r="D366" s="125" t="s">
        <v>9</v>
      </c>
      <c r="E366" s="65">
        <f>2.8+1.55</f>
        <v>4.3499999999999996</v>
      </c>
      <c r="F366" s="65">
        <v>41.71</v>
      </c>
      <c r="G366" s="65">
        <f t="shared" si="41"/>
        <v>181.43</v>
      </c>
      <c r="H366" s="126">
        <f t="shared" si="43"/>
        <v>52.15</v>
      </c>
      <c r="I366" s="126">
        <f t="shared" si="42"/>
        <v>226.84</v>
      </c>
      <c r="J366" s="70">
        <f t="shared" si="45"/>
        <v>181.43</v>
      </c>
    </row>
    <row r="367" spans="1:10" ht="41.25" customHeight="1" x14ac:dyDescent="0.2">
      <c r="A367" s="63" t="s">
        <v>696</v>
      </c>
      <c r="B367" s="124" t="s">
        <v>697</v>
      </c>
      <c r="C367" s="64" t="s">
        <v>1073</v>
      </c>
      <c r="D367" s="125" t="s">
        <v>267</v>
      </c>
      <c r="E367" s="65">
        <f>8.4+4.65</f>
        <v>13.05</v>
      </c>
      <c r="F367" s="65">
        <v>76.959999999999994</v>
      </c>
      <c r="G367" s="65">
        <f t="shared" si="41"/>
        <v>1004.32</v>
      </c>
      <c r="H367" s="126">
        <f t="shared" si="43"/>
        <v>96.22</v>
      </c>
      <c r="I367" s="126">
        <f t="shared" si="42"/>
        <v>1255.7</v>
      </c>
      <c r="J367" s="70">
        <f t="shared" si="45"/>
        <v>1004.32</v>
      </c>
    </row>
    <row r="368" spans="1:10" ht="27.75" customHeight="1" x14ac:dyDescent="0.2">
      <c r="A368" s="63" t="s">
        <v>698</v>
      </c>
      <c r="B368" s="124" t="s">
        <v>1012</v>
      </c>
      <c r="C368" s="64" t="s">
        <v>699</v>
      </c>
      <c r="D368" s="125" t="s">
        <v>267</v>
      </c>
      <c r="E368" s="65">
        <f>8.4+5</f>
        <v>13.4</v>
      </c>
      <c r="F368" s="65">
        <v>94.27</v>
      </c>
      <c r="G368" s="65">
        <f t="shared" ref="G368:G379" si="46">TRUNC(E368*F368,2)</f>
        <v>1263.21</v>
      </c>
      <c r="H368" s="126">
        <f t="shared" si="43"/>
        <v>117.86</v>
      </c>
      <c r="I368" s="126">
        <f t="shared" ref="I368:I379" si="47">TRUNC(G368*(1+I$8),2)</f>
        <v>1579.39</v>
      </c>
      <c r="J368" s="70">
        <f t="shared" si="45"/>
        <v>1263.21</v>
      </c>
    </row>
    <row r="369" spans="1:10" ht="19.5" customHeight="1" x14ac:dyDescent="0.2">
      <c r="A369" s="63" t="s">
        <v>700</v>
      </c>
      <c r="B369" s="124" t="s">
        <v>1013</v>
      </c>
      <c r="C369" s="64" t="s">
        <v>701</v>
      </c>
      <c r="D369" s="125" t="s">
        <v>9</v>
      </c>
      <c r="E369" s="65">
        <f>4.2+2.3</f>
        <v>6.5</v>
      </c>
      <c r="F369" s="65">
        <v>24.18</v>
      </c>
      <c r="G369" s="65">
        <f t="shared" si="46"/>
        <v>157.16999999999999</v>
      </c>
      <c r="H369" s="126">
        <f t="shared" si="43"/>
        <v>30.23</v>
      </c>
      <c r="I369" s="126">
        <f t="shared" si="47"/>
        <v>196.5</v>
      </c>
      <c r="J369" s="70">
        <f t="shared" si="45"/>
        <v>157.16999999999999</v>
      </c>
    </row>
    <row r="370" spans="1:10" ht="42" customHeight="1" x14ac:dyDescent="0.2">
      <c r="A370" s="63" t="s">
        <v>702</v>
      </c>
      <c r="B370" s="124" t="s">
        <v>1014</v>
      </c>
      <c r="C370" s="64" t="s">
        <v>703</v>
      </c>
      <c r="D370" s="125" t="s">
        <v>9</v>
      </c>
      <c r="E370" s="65">
        <f>3.1+1.55</f>
        <v>4.6500000000000004</v>
      </c>
      <c r="F370" s="65">
        <v>57.91</v>
      </c>
      <c r="G370" s="65">
        <f t="shared" si="46"/>
        <v>269.27999999999997</v>
      </c>
      <c r="H370" s="126">
        <f t="shared" si="43"/>
        <v>72.400000000000006</v>
      </c>
      <c r="I370" s="126">
        <f t="shared" si="47"/>
        <v>336.68</v>
      </c>
      <c r="J370" s="70">
        <f t="shared" si="45"/>
        <v>269.27999999999997</v>
      </c>
    </row>
    <row r="371" spans="1:10" ht="32.25" customHeight="1" x14ac:dyDescent="0.2">
      <c r="A371" s="63" t="s">
        <v>704</v>
      </c>
      <c r="B371" s="124" t="s">
        <v>1015</v>
      </c>
      <c r="C371" s="64" t="s">
        <v>705</v>
      </c>
      <c r="D371" s="125" t="s">
        <v>9</v>
      </c>
      <c r="E371" s="65">
        <f>9.25+5</f>
        <v>14.25</v>
      </c>
      <c r="F371" s="65">
        <v>564.95000000000005</v>
      </c>
      <c r="G371" s="65">
        <f t="shared" si="46"/>
        <v>8050.53</v>
      </c>
      <c r="H371" s="126">
        <f t="shared" si="43"/>
        <v>706.35</v>
      </c>
      <c r="I371" s="126">
        <f t="shared" si="47"/>
        <v>10065.57</v>
      </c>
      <c r="J371" s="70">
        <f t="shared" si="45"/>
        <v>8050.53</v>
      </c>
    </row>
    <row r="372" spans="1:10" ht="41.25" customHeight="1" x14ac:dyDescent="0.2">
      <c r="A372" s="63" t="s">
        <v>706</v>
      </c>
      <c r="B372" s="124" t="s">
        <v>1016</v>
      </c>
      <c r="C372" s="64" t="s">
        <v>707</v>
      </c>
      <c r="D372" s="125" t="s">
        <v>168</v>
      </c>
      <c r="E372" s="65">
        <f>3+1</f>
        <v>4</v>
      </c>
      <c r="F372" s="65">
        <v>1416.4</v>
      </c>
      <c r="G372" s="65">
        <f t="shared" si="46"/>
        <v>5665.6</v>
      </c>
      <c r="H372" s="126">
        <f t="shared" si="43"/>
        <v>1770.92</v>
      </c>
      <c r="I372" s="126">
        <f t="shared" si="47"/>
        <v>7083.69</v>
      </c>
      <c r="J372" s="70">
        <f t="shared" si="45"/>
        <v>5665.6</v>
      </c>
    </row>
    <row r="373" spans="1:10" x14ac:dyDescent="0.2">
      <c r="A373" s="127" t="s">
        <v>708</v>
      </c>
      <c r="B373" s="128"/>
      <c r="C373" s="66" t="s">
        <v>1051</v>
      </c>
      <c r="D373" s="66"/>
      <c r="E373" s="141"/>
      <c r="F373" s="143">
        <f>F374+F375+F376+F377+F378+F379</f>
        <v>908</v>
      </c>
      <c r="G373" s="143">
        <f>G374+G375+G376+G377+G378+G379</f>
        <v>196898.11</v>
      </c>
      <c r="H373" s="129">
        <f>SUM(H374:H379)</f>
        <v>1135.25</v>
      </c>
      <c r="I373" s="129">
        <f>SUM(I374:I379)</f>
        <v>246181.68</v>
      </c>
      <c r="J373" s="75">
        <f>SUM(J374:J379)</f>
        <v>196898.11</v>
      </c>
    </row>
    <row r="374" spans="1:10" ht="31.5" customHeight="1" x14ac:dyDescent="0.2">
      <c r="A374" s="63" t="s">
        <v>763</v>
      </c>
      <c r="B374" s="124" t="s">
        <v>1017</v>
      </c>
      <c r="C374" s="64" t="s">
        <v>709</v>
      </c>
      <c r="D374" s="125" t="s">
        <v>4</v>
      </c>
      <c r="E374" s="65">
        <f>184.7+265</f>
        <v>449.7</v>
      </c>
      <c r="F374" s="65">
        <v>107.8</v>
      </c>
      <c r="G374" s="65">
        <f t="shared" si="46"/>
        <v>48477.66</v>
      </c>
      <c r="H374" s="126">
        <f t="shared" si="43"/>
        <v>134.78</v>
      </c>
      <c r="I374" s="126">
        <f t="shared" si="47"/>
        <v>60611.61</v>
      </c>
      <c r="J374" s="70">
        <f>TRUNC(F374 * E374, 2)</f>
        <v>48477.66</v>
      </c>
    </row>
    <row r="375" spans="1:10" ht="29.25" customHeight="1" x14ac:dyDescent="0.2">
      <c r="A375" s="63" t="s">
        <v>764</v>
      </c>
      <c r="B375" s="124" t="s">
        <v>1018</v>
      </c>
      <c r="C375" s="64" t="s">
        <v>710</v>
      </c>
      <c r="D375" s="125" t="s">
        <v>9</v>
      </c>
      <c r="E375" s="65">
        <f>94.55+7</f>
        <v>101.55</v>
      </c>
      <c r="F375" s="65">
        <v>564.29999999999995</v>
      </c>
      <c r="G375" s="65">
        <f t="shared" si="46"/>
        <v>57304.66</v>
      </c>
      <c r="H375" s="126">
        <f t="shared" si="43"/>
        <v>705.54</v>
      </c>
      <c r="I375" s="126">
        <f t="shared" si="47"/>
        <v>71648.009999999995</v>
      </c>
      <c r="J375" s="70">
        <f t="shared" ref="J375:J379" si="48">TRUNC(F375 * E375, 2)</f>
        <v>57304.66</v>
      </c>
    </row>
    <row r="376" spans="1:10" ht="31.5" customHeight="1" x14ac:dyDescent="0.2">
      <c r="A376" s="63" t="s">
        <v>765</v>
      </c>
      <c r="B376" s="124" t="s">
        <v>711</v>
      </c>
      <c r="C376" s="64" t="s">
        <v>712</v>
      </c>
      <c r="D376" s="125" t="s">
        <v>4</v>
      </c>
      <c r="E376" s="65">
        <f>94.55+265</f>
        <v>359.55</v>
      </c>
      <c r="F376" s="65">
        <v>31.43</v>
      </c>
      <c r="G376" s="65">
        <f t="shared" si="46"/>
        <v>11300.65</v>
      </c>
      <c r="H376" s="126">
        <f t="shared" si="43"/>
        <v>39.29</v>
      </c>
      <c r="I376" s="126">
        <f t="shared" si="47"/>
        <v>14129.2</v>
      </c>
      <c r="J376" s="70">
        <f t="shared" si="48"/>
        <v>11300.65</v>
      </c>
    </row>
    <row r="377" spans="1:10" ht="27.75" customHeight="1" x14ac:dyDescent="0.2">
      <c r="A377" s="63" t="s">
        <v>766</v>
      </c>
      <c r="B377" s="124" t="s">
        <v>1019</v>
      </c>
      <c r="C377" s="64" t="s">
        <v>713</v>
      </c>
      <c r="D377" s="125" t="s">
        <v>267</v>
      </c>
      <c r="E377" s="65">
        <f>52.8+130</f>
        <v>182.8</v>
      </c>
      <c r="F377" s="65">
        <v>105.84</v>
      </c>
      <c r="G377" s="65">
        <f t="shared" si="46"/>
        <v>19347.55</v>
      </c>
      <c r="H377" s="126">
        <f t="shared" si="43"/>
        <v>132.33000000000001</v>
      </c>
      <c r="I377" s="126">
        <f t="shared" si="47"/>
        <v>24190.240000000002</v>
      </c>
      <c r="J377" s="70">
        <f t="shared" si="48"/>
        <v>19347.55</v>
      </c>
    </row>
    <row r="378" spans="1:10" ht="30" customHeight="1" x14ac:dyDescent="0.2">
      <c r="A378" s="63" t="s">
        <v>1106</v>
      </c>
      <c r="B378" s="124" t="s">
        <v>714</v>
      </c>
      <c r="C378" s="64" t="s">
        <v>715</v>
      </c>
      <c r="D378" s="125" t="s">
        <v>4</v>
      </c>
      <c r="E378" s="65">
        <f>63.8</f>
        <v>63.8</v>
      </c>
      <c r="F378" s="65">
        <v>11.95</v>
      </c>
      <c r="G378" s="65">
        <f t="shared" si="46"/>
        <v>762.41</v>
      </c>
      <c r="H378" s="126">
        <f t="shared" si="43"/>
        <v>14.94</v>
      </c>
      <c r="I378" s="126">
        <f t="shared" si="47"/>
        <v>953.24</v>
      </c>
      <c r="J378" s="70">
        <f t="shared" si="48"/>
        <v>762.41</v>
      </c>
    </row>
    <row r="379" spans="1:10" ht="25.5" x14ac:dyDescent="0.2">
      <c r="A379" s="63" t="s">
        <v>1107</v>
      </c>
      <c r="B379" s="124" t="s">
        <v>716</v>
      </c>
      <c r="C379" s="64" t="s">
        <v>717</v>
      </c>
      <c r="D379" s="125" t="s">
        <v>4</v>
      </c>
      <c r="E379" s="65">
        <f>63.8+625</f>
        <v>688.8</v>
      </c>
      <c r="F379" s="65">
        <v>86.68</v>
      </c>
      <c r="G379" s="65">
        <f t="shared" si="46"/>
        <v>59705.18</v>
      </c>
      <c r="H379" s="126">
        <f t="shared" si="43"/>
        <v>108.37</v>
      </c>
      <c r="I379" s="126">
        <f t="shared" si="47"/>
        <v>74649.38</v>
      </c>
      <c r="J379" s="70">
        <f t="shared" si="48"/>
        <v>59705.18</v>
      </c>
    </row>
    <row r="380" spans="1:10" x14ac:dyDescent="0.2">
      <c r="A380" s="127" t="s">
        <v>718</v>
      </c>
      <c r="B380" s="128"/>
      <c r="C380" s="66" t="s">
        <v>1050</v>
      </c>
      <c r="D380" s="66"/>
      <c r="E380" s="141"/>
      <c r="F380" s="143">
        <f>F381</f>
        <v>1015.1899999999999</v>
      </c>
      <c r="G380" s="143">
        <f>G381</f>
        <v>61033.460000000006</v>
      </c>
      <c r="H380" s="129">
        <f>H381</f>
        <v>1269.27</v>
      </c>
      <c r="I380" s="129">
        <f>I381</f>
        <v>76310.12</v>
      </c>
      <c r="J380" s="75">
        <f>J381</f>
        <v>61033.460000000006</v>
      </c>
    </row>
    <row r="381" spans="1:10" x14ac:dyDescent="0.2">
      <c r="A381" s="127" t="s">
        <v>719</v>
      </c>
      <c r="B381" s="128"/>
      <c r="C381" s="66" t="s">
        <v>720</v>
      </c>
      <c r="D381" s="66"/>
      <c r="E381" s="141"/>
      <c r="F381" s="143">
        <f>SUM(F382:F385)</f>
        <v>1015.1899999999999</v>
      </c>
      <c r="G381" s="143">
        <f>SUM(G382:G385)</f>
        <v>61033.460000000006</v>
      </c>
      <c r="H381" s="129">
        <f>SUM(H382:H385)</f>
        <v>1269.27</v>
      </c>
      <c r="I381" s="129">
        <f>SUM(I382:I385)</f>
        <v>76310.12</v>
      </c>
      <c r="J381" s="75">
        <f>SUM(J382:J385)</f>
        <v>61033.460000000006</v>
      </c>
    </row>
    <row r="382" spans="1:10" ht="80.25" customHeight="1" x14ac:dyDescent="0.2">
      <c r="A382" s="63" t="s">
        <v>760</v>
      </c>
      <c r="B382" s="124" t="s">
        <v>377</v>
      </c>
      <c r="C382" s="64" t="s">
        <v>1074</v>
      </c>
      <c r="D382" s="125" t="s">
        <v>267</v>
      </c>
      <c r="E382" s="65">
        <f>7+3</f>
        <v>10</v>
      </c>
      <c r="F382" s="65">
        <v>811.93</v>
      </c>
      <c r="G382" s="65">
        <f t="shared" ref="G382:G385" si="49">TRUNC(E382*F382,2)</f>
        <v>8119.3</v>
      </c>
      <c r="H382" s="126">
        <f t="shared" ref="H382:H402" si="50">TRUNC(F382*(1+I$8),2)</f>
        <v>1015.15</v>
      </c>
      <c r="I382" s="126">
        <f t="shared" ref="I382:I385" si="51">TRUNC(G382*(1+I$8),2)</f>
        <v>10151.56</v>
      </c>
      <c r="J382" s="70">
        <f>TRUNC(F382 * E382, 2)</f>
        <v>8119.3</v>
      </c>
    </row>
    <row r="383" spans="1:10" ht="30.75" customHeight="1" x14ac:dyDescent="0.2">
      <c r="A383" s="63" t="s">
        <v>1269</v>
      </c>
      <c r="B383" s="124" t="s">
        <v>1020</v>
      </c>
      <c r="C383" s="64" t="s">
        <v>721</v>
      </c>
      <c r="D383" s="125" t="s">
        <v>4</v>
      </c>
      <c r="E383" s="65">
        <f>172+126</f>
        <v>298</v>
      </c>
      <c r="F383" s="65">
        <v>87.24</v>
      </c>
      <c r="G383" s="65">
        <f t="shared" si="49"/>
        <v>25997.52</v>
      </c>
      <c r="H383" s="126">
        <f t="shared" si="50"/>
        <v>109.07</v>
      </c>
      <c r="I383" s="126">
        <f t="shared" si="51"/>
        <v>32504.69</v>
      </c>
      <c r="J383" s="70">
        <f>TRUNC(F383 * E383, 2)</f>
        <v>25997.52</v>
      </c>
    </row>
    <row r="384" spans="1:10" ht="30.75" customHeight="1" x14ac:dyDescent="0.2">
      <c r="A384" s="63" t="s">
        <v>1270</v>
      </c>
      <c r="B384" s="124" t="s">
        <v>1021</v>
      </c>
      <c r="C384" s="64" t="s">
        <v>722</v>
      </c>
      <c r="D384" s="125" t="s">
        <v>4</v>
      </c>
      <c r="E384" s="65">
        <f>154+78</f>
        <v>232</v>
      </c>
      <c r="F384" s="65">
        <v>40.39</v>
      </c>
      <c r="G384" s="65">
        <f t="shared" si="49"/>
        <v>9370.48</v>
      </c>
      <c r="H384" s="126">
        <f t="shared" si="50"/>
        <v>50.49</v>
      </c>
      <c r="I384" s="126">
        <f t="shared" si="51"/>
        <v>11715.91</v>
      </c>
      <c r="J384" s="70">
        <f>TRUNC(F384 * E384, 2)</f>
        <v>9370.48</v>
      </c>
    </row>
    <row r="385" spans="1:12" ht="29.25" customHeight="1" x14ac:dyDescent="0.2">
      <c r="A385" s="63" t="s">
        <v>1245</v>
      </c>
      <c r="B385" s="124" t="s">
        <v>1022</v>
      </c>
      <c r="C385" s="64" t="s">
        <v>723</v>
      </c>
      <c r="D385" s="125" t="s">
        <v>4</v>
      </c>
      <c r="E385" s="65">
        <f>154+78</f>
        <v>232</v>
      </c>
      <c r="F385" s="65">
        <v>75.63</v>
      </c>
      <c r="G385" s="65">
        <f t="shared" si="49"/>
        <v>17546.16</v>
      </c>
      <c r="H385" s="126">
        <f t="shared" si="50"/>
        <v>94.56</v>
      </c>
      <c r="I385" s="126">
        <f t="shared" si="51"/>
        <v>21937.96</v>
      </c>
      <c r="J385" s="70">
        <f>TRUNC(F385 * E385, 2)</f>
        <v>17546.16</v>
      </c>
    </row>
    <row r="386" spans="1:12" x14ac:dyDescent="0.2">
      <c r="A386" s="127" t="s">
        <v>724</v>
      </c>
      <c r="B386" s="128"/>
      <c r="C386" s="66" t="s">
        <v>725</v>
      </c>
      <c r="D386" s="66"/>
      <c r="E386" s="141"/>
      <c r="F386" s="143">
        <f>F387+F390+F397</f>
        <v>2782.41</v>
      </c>
      <c r="G386" s="143">
        <f>G387+G390+G397</f>
        <v>88869</v>
      </c>
      <c r="H386" s="129">
        <f>H387+H390+H397</f>
        <v>3478.8</v>
      </c>
      <c r="I386" s="129">
        <f>I387+I390+I397</f>
        <v>111112.86</v>
      </c>
      <c r="J386" s="75">
        <f>J387+J390+J397</f>
        <v>88869</v>
      </c>
    </row>
    <row r="387" spans="1:12" x14ac:dyDescent="0.2">
      <c r="A387" s="127" t="s">
        <v>726</v>
      </c>
      <c r="B387" s="128"/>
      <c r="C387" s="66" t="s">
        <v>727</v>
      </c>
      <c r="D387" s="66"/>
      <c r="E387" s="141"/>
      <c r="F387" s="143">
        <f>F388+F389</f>
        <v>456.31</v>
      </c>
      <c r="G387" s="143">
        <f>G388+G389</f>
        <v>23207.5</v>
      </c>
      <c r="H387" s="129">
        <f>H388+H389</f>
        <v>570.52</v>
      </c>
      <c r="I387" s="129">
        <f>SUM(I388:I389)</f>
        <v>29016.329999999998</v>
      </c>
      <c r="J387" s="75">
        <f>SUM(J388:J389)</f>
        <v>23207.5</v>
      </c>
    </row>
    <row r="388" spans="1:12" x14ac:dyDescent="0.2">
      <c r="A388" s="63" t="s">
        <v>758</v>
      </c>
      <c r="B388" s="124" t="s">
        <v>728</v>
      </c>
      <c r="C388" s="64" t="s">
        <v>729</v>
      </c>
      <c r="D388" s="125" t="s">
        <v>168</v>
      </c>
      <c r="E388" s="65">
        <v>1</v>
      </c>
      <c r="F388" s="65">
        <v>226.5</v>
      </c>
      <c r="G388" s="65">
        <f t="shared" ref="G388:G402" si="52">TRUNC(E388*F388,2)</f>
        <v>226.5</v>
      </c>
      <c r="H388" s="126">
        <f t="shared" si="50"/>
        <v>283.19</v>
      </c>
      <c r="I388" s="126">
        <f t="shared" ref="I388:I402" si="53">TRUNC(G388*(1+I$8),2)</f>
        <v>283.19</v>
      </c>
      <c r="J388" s="70">
        <f>TRUNC(F388 * E388, 2)</f>
        <v>226.5</v>
      </c>
    </row>
    <row r="389" spans="1:12" x14ac:dyDescent="0.2">
      <c r="A389" s="63" t="s">
        <v>759</v>
      </c>
      <c r="B389" s="124" t="s">
        <v>730</v>
      </c>
      <c r="C389" s="64" t="s">
        <v>1271</v>
      </c>
      <c r="D389" s="125" t="s">
        <v>168</v>
      </c>
      <c r="E389" s="65">
        <v>100</v>
      </c>
      <c r="F389" s="65">
        <v>229.81</v>
      </c>
      <c r="G389" s="65">
        <f t="shared" si="52"/>
        <v>22981</v>
      </c>
      <c r="H389" s="126">
        <f t="shared" si="50"/>
        <v>287.33</v>
      </c>
      <c r="I389" s="126">
        <f t="shared" si="53"/>
        <v>28733.14</v>
      </c>
      <c r="J389" s="70">
        <f>TRUNC(F389 * E389, 2)</f>
        <v>22981</v>
      </c>
    </row>
    <row r="390" spans="1:12" x14ac:dyDescent="0.2">
      <c r="A390" s="127" t="s">
        <v>731</v>
      </c>
      <c r="B390" s="128"/>
      <c r="C390" s="66" t="s">
        <v>732</v>
      </c>
      <c r="D390" s="66"/>
      <c r="E390" s="141"/>
      <c r="F390" s="143">
        <f>F391+F392+F393+F394+F395+F396</f>
        <v>2087.71</v>
      </c>
      <c r="G390" s="143">
        <f>G391+G392+G393+G394+G395+G396</f>
        <v>28367.5</v>
      </c>
      <c r="H390" s="129">
        <f>H391+H392+H393+H394+H395+H396</f>
        <v>2610.2300000000005</v>
      </c>
      <c r="I390" s="129">
        <f>SUM(I391:I396)</f>
        <v>35467.86</v>
      </c>
      <c r="J390" s="75">
        <f>SUM(J391:J396)</f>
        <v>28367.5</v>
      </c>
    </row>
    <row r="391" spans="1:12" ht="25.5" x14ac:dyDescent="0.2">
      <c r="A391" s="63" t="s">
        <v>748</v>
      </c>
      <c r="B391" s="124" t="s">
        <v>753</v>
      </c>
      <c r="C391" s="64" t="s">
        <v>733</v>
      </c>
      <c r="D391" s="125" t="s">
        <v>267</v>
      </c>
      <c r="E391" s="65">
        <f>47+24</f>
        <v>71</v>
      </c>
      <c r="F391" s="65">
        <v>20</v>
      </c>
      <c r="G391" s="65">
        <f t="shared" si="52"/>
        <v>1420</v>
      </c>
      <c r="H391" s="126">
        <f t="shared" si="50"/>
        <v>25</v>
      </c>
      <c r="I391" s="126">
        <f t="shared" si="53"/>
        <v>1775.42</v>
      </c>
      <c r="J391" s="70">
        <f t="shared" ref="J391:J396" si="54">TRUNC(F391 * E391, 2)</f>
        <v>1420</v>
      </c>
    </row>
    <row r="392" spans="1:12" ht="28.5" customHeight="1" x14ac:dyDescent="0.2">
      <c r="A392" s="63" t="s">
        <v>749</v>
      </c>
      <c r="B392" s="124" t="s">
        <v>754</v>
      </c>
      <c r="C392" s="64" t="s">
        <v>734</v>
      </c>
      <c r="D392" s="125" t="s">
        <v>4</v>
      </c>
      <c r="E392" s="65">
        <f>37+19</f>
        <v>56</v>
      </c>
      <c r="F392" s="65">
        <v>15</v>
      </c>
      <c r="G392" s="65">
        <f t="shared" si="52"/>
        <v>840</v>
      </c>
      <c r="H392" s="126">
        <f t="shared" si="50"/>
        <v>18.75</v>
      </c>
      <c r="I392" s="126">
        <f t="shared" si="53"/>
        <v>1050.25</v>
      </c>
      <c r="J392" s="70">
        <f t="shared" si="54"/>
        <v>840</v>
      </c>
    </row>
    <row r="393" spans="1:12" x14ac:dyDescent="0.2">
      <c r="A393" s="63" t="s">
        <v>750</v>
      </c>
      <c r="B393" s="124" t="s">
        <v>755</v>
      </c>
      <c r="C393" s="64" t="s">
        <v>735</v>
      </c>
      <c r="D393" s="125" t="s">
        <v>267</v>
      </c>
      <c r="E393" s="65">
        <f>31+16</f>
        <v>47</v>
      </c>
      <c r="F393" s="65">
        <v>33.619999999999997</v>
      </c>
      <c r="G393" s="65">
        <f t="shared" si="52"/>
        <v>1580.14</v>
      </c>
      <c r="H393" s="126">
        <f t="shared" si="50"/>
        <v>42.03</v>
      </c>
      <c r="I393" s="126">
        <f t="shared" si="53"/>
        <v>1975.64</v>
      </c>
      <c r="J393" s="70">
        <f t="shared" si="54"/>
        <v>1580.14</v>
      </c>
    </row>
    <row r="394" spans="1:12" ht="18.75" customHeight="1" x14ac:dyDescent="0.2">
      <c r="A394" s="63" t="s">
        <v>751</v>
      </c>
      <c r="B394" s="124" t="s">
        <v>752</v>
      </c>
      <c r="C394" s="64" t="s">
        <v>736</v>
      </c>
      <c r="D394" s="125" t="s">
        <v>4</v>
      </c>
      <c r="E394" s="65">
        <f>308+156</f>
        <v>464</v>
      </c>
      <c r="F394" s="65">
        <v>7.43</v>
      </c>
      <c r="G394" s="65">
        <f t="shared" si="52"/>
        <v>3447.52</v>
      </c>
      <c r="H394" s="126">
        <f t="shared" si="50"/>
        <v>9.2799999999999994</v>
      </c>
      <c r="I394" s="126">
        <f t="shared" si="53"/>
        <v>4310.43</v>
      </c>
      <c r="J394" s="70">
        <f t="shared" si="54"/>
        <v>3447.52</v>
      </c>
    </row>
    <row r="395" spans="1:12" ht="28.5" customHeight="1" x14ac:dyDescent="0.2">
      <c r="A395" s="63" t="s">
        <v>747</v>
      </c>
      <c r="B395" s="124" t="s">
        <v>756</v>
      </c>
      <c r="C395" s="64" t="s">
        <v>1392</v>
      </c>
      <c r="D395" s="125" t="s">
        <v>9</v>
      </c>
      <c r="E395" s="65">
        <f>16+8</f>
        <v>24</v>
      </c>
      <c r="F395" s="65">
        <v>311.66000000000003</v>
      </c>
      <c r="G395" s="65">
        <f t="shared" si="52"/>
        <v>7479.84</v>
      </c>
      <c r="H395" s="126">
        <f t="shared" si="50"/>
        <v>389.66</v>
      </c>
      <c r="I395" s="126">
        <f t="shared" si="53"/>
        <v>9352.0400000000009</v>
      </c>
      <c r="J395" s="70">
        <f t="shared" si="54"/>
        <v>7479.84</v>
      </c>
    </row>
    <row r="396" spans="1:12" ht="25.5" x14ac:dyDescent="0.2">
      <c r="A396" s="63" t="s">
        <v>746</v>
      </c>
      <c r="B396" s="124" t="s">
        <v>757</v>
      </c>
      <c r="C396" s="64" t="s">
        <v>1393</v>
      </c>
      <c r="D396" s="125" t="s">
        <v>9</v>
      </c>
      <c r="E396" s="65">
        <f>5+3</f>
        <v>8</v>
      </c>
      <c r="F396" s="65">
        <v>1700</v>
      </c>
      <c r="G396" s="65">
        <f t="shared" si="52"/>
        <v>13600</v>
      </c>
      <c r="H396" s="126">
        <f t="shared" si="50"/>
        <v>2125.5100000000002</v>
      </c>
      <c r="I396" s="126">
        <f t="shared" si="53"/>
        <v>17004.080000000002</v>
      </c>
      <c r="J396" s="70">
        <f t="shared" si="54"/>
        <v>13600</v>
      </c>
    </row>
    <row r="397" spans="1:12" x14ac:dyDescent="0.2">
      <c r="A397" s="127" t="s">
        <v>737</v>
      </c>
      <c r="B397" s="128"/>
      <c r="C397" s="66" t="s">
        <v>738</v>
      </c>
      <c r="D397" s="66"/>
      <c r="E397" s="141"/>
      <c r="F397" s="143">
        <f>F398+F399+F400</f>
        <v>238.39000000000001</v>
      </c>
      <c r="G397" s="143">
        <f>G398+G399+G400</f>
        <v>37294</v>
      </c>
      <c r="H397" s="129">
        <f>H398+H399+H400</f>
        <v>298.04999999999995</v>
      </c>
      <c r="I397" s="129">
        <f>SUM(I398:I400)</f>
        <v>46628.67</v>
      </c>
      <c r="J397" s="75">
        <f>SUM(J398:J400)</f>
        <v>37294</v>
      </c>
    </row>
    <row r="398" spans="1:12" x14ac:dyDescent="0.2">
      <c r="A398" s="63" t="s">
        <v>745</v>
      </c>
      <c r="B398" s="124" t="s">
        <v>739</v>
      </c>
      <c r="C398" s="64" t="s">
        <v>740</v>
      </c>
      <c r="D398" s="125" t="s">
        <v>4</v>
      </c>
      <c r="E398" s="65">
        <f>1254+768</f>
        <v>2022</v>
      </c>
      <c r="F398" s="65">
        <v>7.02</v>
      </c>
      <c r="G398" s="65">
        <f t="shared" si="52"/>
        <v>14194.44</v>
      </c>
      <c r="H398" s="126">
        <f t="shared" si="50"/>
        <v>8.77</v>
      </c>
      <c r="I398" s="126">
        <f t="shared" si="53"/>
        <v>17747.3</v>
      </c>
      <c r="J398" s="70">
        <f>TRUNC(F398 * E398, 2)</f>
        <v>14194.44</v>
      </c>
    </row>
    <row r="399" spans="1:12" x14ac:dyDescent="0.2">
      <c r="A399" s="63" t="s">
        <v>744</v>
      </c>
      <c r="B399" s="124" t="s">
        <v>1023</v>
      </c>
      <c r="C399" s="64" t="s">
        <v>741</v>
      </c>
      <c r="D399" s="125" t="s">
        <v>4</v>
      </c>
      <c r="E399" s="65">
        <f>52+24</f>
        <v>76</v>
      </c>
      <c r="F399" s="65">
        <v>1.56</v>
      </c>
      <c r="G399" s="65">
        <f t="shared" si="52"/>
        <v>118.56</v>
      </c>
      <c r="H399" s="126">
        <f t="shared" si="50"/>
        <v>1.95</v>
      </c>
      <c r="I399" s="126">
        <f t="shared" si="53"/>
        <v>148.22999999999999</v>
      </c>
      <c r="J399" s="70">
        <f>TRUNC(F399 * E399, 2)</f>
        <v>118.56</v>
      </c>
      <c r="L399" s="1"/>
    </row>
    <row r="400" spans="1:12" ht="15" customHeight="1" x14ac:dyDescent="0.2">
      <c r="A400" s="63" t="s">
        <v>743</v>
      </c>
      <c r="B400" s="124" t="s">
        <v>742</v>
      </c>
      <c r="C400" s="64" t="s">
        <v>1394</v>
      </c>
      <c r="D400" s="125" t="s">
        <v>168</v>
      </c>
      <c r="E400" s="65">
        <v>100</v>
      </c>
      <c r="F400" s="65">
        <v>229.81</v>
      </c>
      <c r="G400" s="65">
        <f t="shared" si="52"/>
        <v>22981</v>
      </c>
      <c r="H400" s="126">
        <f t="shared" si="50"/>
        <v>287.33</v>
      </c>
      <c r="I400" s="126">
        <f t="shared" si="53"/>
        <v>28733.14</v>
      </c>
      <c r="J400" s="70">
        <f>TRUNC(F400 * E400, 2)</f>
        <v>22981</v>
      </c>
      <c r="L400" s="1"/>
    </row>
    <row r="401" spans="1:18" x14ac:dyDescent="0.2">
      <c r="A401" s="132" t="s">
        <v>772</v>
      </c>
      <c r="B401" s="133"/>
      <c r="C401" s="134" t="s">
        <v>774</v>
      </c>
      <c r="D401" s="135"/>
      <c r="E401" s="143"/>
      <c r="F401" s="143">
        <f>F402</f>
        <v>1082.44</v>
      </c>
      <c r="G401" s="143">
        <f>G402</f>
        <v>108244</v>
      </c>
      <c r="H401" s="129">
        <f>H402</f>
        <v>1353.37</v>
      </c>
      <c r="I401" s="129">
        <f>I402</f>
        <v>135337.47</v>
      </c>
      <c r="J401" s="76">
        <f>J402</f>
        <v>12989.28</v>
      </c>
      <c r="L401" s="1"/>
    </row>
    <row r="402" spans="1:18" ht="17.25" customHeight="1" x14ac:dyDescent="0.2">
      <c r="A402" s="63" t="s">
        <v>773</v>
      </c>
      <c r="B402" s="124" t="s">
        <v>1024</v>
      </c>
      <c r="C402" s="64" t="s">
        <v>774</v>
      </c>
      <c r="D402" s="125" t="s">
        <v>168</v>
      </c>
      <c r="E402" s="65">
        <v>100</v>
      </c>
      <c r="F402" s="65">
        <v>1082.44</v>
      </c>
      <c r="G402" s="65">
        <f t="shared" si="52"/>
        <v>108244</v>
      </c>
      <c r="H402" s="126">
        <f t="shared" si="50"/>
        <v>1353.37</v>
      </c>
      <c r="I402" s="126">
        <f t="shared" si="53"/>
        <v>135337.47</v>
      </c>
      <c r="J402" s="77">
        <f>TRUNC(F402 * 12, 2)</f>
        <v>12989.28</v>
      </c>
    </row>
    <row r="403" spans="1:18" ht="15" thickBot="1" x14ac:dyDescent="0.25">
      <c r="A403" s="137"/>
      <c r="B403" s="138"/>
      <c r="C403" s="139"/>
      <c r="D403" s="117"/>
      <c r="E403" s="118"/>
      <c r="F403" s="119"/>
      <c r="G403" s="119"/>
      <c r="H403" s="119"/>
      <c r="I403" s="120"/>
      <c r="R403" s="140"/>
    </row>
    <row r="404" spans="1:18" x14ac:dyDescent="0.2">
      <c r="A404" s="148"/>
      <c r="B404" s="149"/>
      <c r="C404" s="150"/>
      <c r="D404" s="352" t="s">
        <v>1122</v>
      </c>
      <c r="E404" s="352"/>
      <c r="F404" s="151"/>
      <c r="G404" s="152"/>
      <c r="H404" s="152"/>
      <c r="I404" s="158">
        <f>F12+F20+F46+F50+F75+F82+F91+F120+F135+F142+F163+F169+F173+F191+F200+F205+F209+F237+F258+F290+F338+F342+F358+F373+F380+F386+F401</f>
        <v>65165.3</v>
      </c>
      <c r="R404" s="140"/>
    </row>
    <row r="405" spans="1:18" x14ac:dyDescent="0.2">
      <c r="A405" s="137"/>
      <c r="B405" s="138"/>
      <c r="C405" s="139"/>
      <c r="D405" s="355" t="s">
        <v>1123</v>
      </c>
      <c r="E405" s="355"/>
      <c r="G405" s="119"/>
      <c r="H405" s="119"/>
      <c r="I405" s="159">
        <f>G12+G20+G46+G50+G75+G82+G91+G120+G135+G142+G163+G169+G173+G191+G200+G205+G209+G237+G258+G290+G338+G342+G358+G373+G380+G386+G401</f>
        <v>1981101.6199999996</v>
      </c>
      <c r="L405" s="1"/>
      <c r="R405" s="140"/>
    </row>
    <row r="406" spans="1:18" x14ac:dyDescent="0.2">
      <c r="A406" s="137"/>
      <c r="B406" s="138"/>
      <c r="C406" s="139"/>
      <c r="D406" s="356" t="s">
        <v>1124</v>
      </c>
      <c r="E406" s="356"/>
      <c r="G406" s="119"/>
      <c r="H406" s="119"/>
      <c r="I406" s="159">
        <f>H12+H20+H46+H50+H75+H82+H91+H120+H135+H142+H163+H169+H173+H191+H200+H205+H209+H237+H258+H290+H338+H342+H358+H373+H380+H386+H401</f>
        <v>81474.500000000029</v>
      </c>
      <c r="R406" s="140"/>
    </row>
    <row r="407" spans="1:18" ht="18.75" customHeight="1" x14ac:dyDescent="0.2">
      <c r="A407" s="137"/>
      <c r="B407" s="138"/>
      <c r="C407" s="139"/>
      <c r="D407" s="357" t="s">
        <v>1125</v>
      </c>
      <c r="E407" s="357"/>
      <c r="F407" s="165"/>
      <c r="G407" s="166"/>
      <c r="H407" s="166"/>
      <c r="I407" s="167">
        <f>I12+I20+I46+I50+I75+I82+I91+I120+I135+I142+I163+I169+I173+I191+I200+I205+I209+I237+I258+I290+I338+I342+I358+I373+I380+I386+I401</f>
        <v>2476969.7400000007</v>
      </c>
      <c r="L407" s="140"/>
      <c r="R407" s="140"/>
    </row>
    <row r="408" spans="1:18" ht="15" thickBot="1" x14ac:dyDescent="0.25">
      <c r="A408" s="153"/>
      <c r="B408" s="154"/>
      <c r="C408" s="155"/>
      <c r="D408" s="351" t="s">
        <v>1126</v>
      </c>
      <c r="E408" s="351"/>
      <c r="F408" s="156"/>
      <c r="G408" s="157"/>
      <c r="H408" s="157"/>
      <c r="I408" s="160">
        <f>I407-I405</f>
        <v>495868.12000000104</v>
      </c>
      <c r="R408" s="140"/>
    </row>
    <row r="409" spans="1:18" x14ac:dyDescent="0.2">
      <c r="A409" s="139"/>
      <c r="B409" s="138"/>
      <c r="C409" s="139"/>
      <c r="D409" s="117"/>
      <c r="E409" s="118"/>
      <c r="F409" s="119"/>
      <c r="G409" s="119"/>
      <c r="H409" s="119"/>
      <c r="I409" s="169"/>
      <c r="R409" s="140"/>
    </row>
    <row r="410" spans="1:18" ht="15" x14ac:dyDescent="0.25">
      <c r="A410" s="361" t="s">
        <v>1274</v>
      </c>
      <c r="B410" s="361"/>
      <c r="C410" s="361"/>
      <c r="D410" s="361"/>
      <c r="E410" s="361"/>
      <c r="F410" s="361"/>
      <c r="G410" s="361"/>
      <c r="H410" s="361"/>
      <c r="I410" s="361"/>
      <c r="J410" s="69"/>
      <c r="K410" s="144"/>
      <c r="L410" s="114" t="e">
        <f>I401/#REF!</f>
        <v>#REF!</v>
      </c>
      <c r="M410" s="69"/>
    </row>
    <row r="411" spans="1:18" x14ac:dyDescent="0.2">
      <c r="A411"/>
      <c r="B411"/>
      <c r="E411" s="18"/>
      <c r="L411" s="115"/>
    </row>
    <row r="412" spans="1:18" x14ac:dyDescent="0.2">
      <c r="A412"/>
      <c r="B412"/>
      <c r="E412" s="18"/>
    </row>
    <row r="413" spans="1:18" x14ac:dyDescent="0.2">
      <c r="A413"/>
      <c r="B413"/>
      <c r="E413" s="18"/>
    </row>
    <row r="414" spans="1:18" x14ac:dyDescent="0.2">
      <c r="A414" s="67"/>
      <c r="B414" s="67"/>
      <c r="C414" s="67"/>
      <c r="E414" s="363"/>
      <c r="F414" s="363"/>
      <c r="G414" s="363"/>
      <c r="H414" s="363"/>
      <c r="I414" s="363"/>
      <c r="J414" s="363"/>
      <c r="K414" s="363"/>
      <c r="L414" s="363"/>
      <c r="M414" s="363"/>
    </row>
    <row r="415" spans="1:18" ht="15" x14ac:dyDescent="0.25">
      <c r="A415" s="358"/>
      <c r="B415" s="359"/>
      <c r="C415" s="359"/>
      <c r="E415" s="360"/>
      <c r="F415" s="360"/>
      <c r="G415" s="360"/>
      <c r="H415" s="360"/>
      <c r="I415" s="360"/>
      <c r="J415" s="360"/>
      <c r="K415" s="360"/>
      <c r="L415" s="360"/>
      <c r="M415" s="360"/>
      <c r="N415" s="116"/>
    </row>
    <row r="416" spans="1:18" x14ac:dyDescent="0.2">
      <c r="A416" s="18"/>
      <c r="B416" s="18"/>
      <c r="C416" s="18"/>
      <c r="E416" s="18"/>
      <c r="I416" s="161">
        <f>I401/I407</f>
        <v>5.4638321903762929E-2</v>
      </c>
      <c r="J416" s="18"/>
      <c r="K416" s="18"/>
      <c r="L416" s="18"/>
      <c r="M416" s="18"/>
    </row>
    <row r="417" spans="1:13" x14ac:dyDescent="0.2">
      <c r="A417" s="18"/>
      <c r="B417" s="18"/>
      <c r="C417" s="18"/>
      <c r="E417" s="18"/>
      <c r="J417" s="18"/>
      <c r="K417" s="18"/>
      <c r="L417" s="18"/>
      <c r="M417" s="18"/>
    </row>
    <row r="418" spans="1:13" x14ac:dyDescent="0.2">
      <c r="A418" s="18"/>
      <c r="B418" s="18"/>
      <c r="C418" s="18"/>
      <c r="E418" s="18"/>
      <c r="I418" s="121"/>
      <c r="J418" s="18"/>
      <c r="K418" s="18"/>
      <c r="L418" s="18"/>
      <c r="M418" s="18"/>
    </row>
    <row r="419" spans="1:13" x14ac:dyDescent="0.2">
      <c r="A419" s="362"/>
      <c r="B419" s="362"/>
      <c r="C419" s="362"/>
      <c r="E419" s="363"/>
      <c r="F419" s="363"/>
      <c r="G419" s="363"/>
      <c r="H419" s="363"/>
      <c r="I419" s="363"/>
      <c r="J419" s="363"/>
      <c r="K419" s="363"/>
      <c r="L419" s="363"/>
      <c r="M419" s="363"/>
    </row>
    <row r="420" spans="1:13" x14ac:dyDescent="0.2">
      <c r="A420" s="358"/>
      <c r="B420" s="359"/>
      <c r="C420" s="359"/>
      <c r="E420" s="360"/>
      <c r="F420" s="360"/>
      <c r="G420" s="360"/>
      <c r="H420" s="360"/>
      <c r="I420" s="360"/>
      <c r="J420" s="360"/>
      <c r="K420" s="360"/>
      <c r="L420" s="360"/>
      <c r="M420" s="360"/>
    </row>
    <row r="421" spans="1:13" x14ac:dyDescent="0.2">
      <c r="A421"/>
      <c r="B421"/>
      <c r="E421" s="18"/>
    </row>
    <row r="422" spans="1:13" x14ac:dyDescent="0.2">
      <c r="A422"/>
      <c r="B422"/>
      <c r="E422" s="18"/>
    </row>
    <row r="423" spans="1:13" x14ac:dyDescent="0.2">
      <c r="A423"/>
      <c r="B423"/>
      <c r="E423" s="18"/>
    </row>
    <row r="424" spans="1:13" x14ac:dyDescent="0.2">
      <c r="A424" s="362"/>
      <c r="B424" s="362"/>
      <c r="C424" s="362"/>
      <c r="D424" s="67"/>
      <c r="E424" s="363"/>
      <c r="F424" s="363"/>
      <c r="G424" s="363"/>
      <c r="H424" s="363"/>
      <c r="I424" s="363"/>
      <c r="J424" s="363"/>
      <c r="K424" s="363"/>
      <c r="L424" s="363"/>
      <c r="M424" s="363"/>
    </row>
    <row r="425" spans="1:13" x14ac:dyDescent="0.2">
      <c r="A425" s="358"/>
      <c r="B425" s="359"/>
      <c r="C425" s="359"/>
      <c r="D425" s="68"/>
      <c r="E425" s="360"/>
      <c r="F425" s="360"/>
      <c r="G425" s="360"/>
      <c r="H425" s="360"/>
      <c r="I425" s="360"/>
      <c r="J425" s="360"/>
      <c r="K425" s="360"/>
      <c r="L425" s="360"/>
      <c r="M425" s="360"/>
    </row>
  </sheetData>
  <mergeCells count="27">
    <mergeCell ref="C1:I1"/>
    <mergeCell ref="C2:I2"/>
    <mergeCell ref="A6:I6"/>
    <mergeCell ref="A7:I7"/>
    <mergeCell ref="G10:I10"/>
    <mergeCell ref="A8:F10"/>
    <mergeCell ref="A3:I3"/>
    <mergeCell ref="A4:I4"/>
    <mergeCell ref="A5:I5"/>
    <mergeCell ref="A425:C425"/>
    <mergeCell ref="E425:M425"/>
    <mergeCell ref="A410:I410"/>
    <mergeCell ref="A419:C419"/>
    <mergeCell ref="E419:M419"/>
    <mergeCell ref="A420:C420"/>
    <mergeCell ref="E420:M420"/>
    <mergeCell ref="A424:C424"/>
    <mergeCell ref="E424:M424"/>
    <mergeCell ref="E414:M414"/>
    <mergeCell ref="A415:C415"/>
    <mergeCell ref="E415:M415"/>
    <mergeCell ref="D408:E408"/>
    <mergeCell ref="D404:E404"/>
    <mergeCell ref="G9:H9"/>
    <mergeCell ref="D405:E405"/>
    <mergeCell ref="D406:E406"/>
    <mergeCell ref="D407:E407"/>
  </mergeCells>
  <phoneticPr fontId="25" type="noConversion"/>
  <printOptions horizontalCentered="1"/>
  <pageMargins left="0.15748031496062992" right="0.15748031496062992" top="0.34" bottom="0.31496062992125984" header="0.33" footer="0.11811023622047245"/>
  <pageSetup paperSize="9" scale="95" fitToWidth="20" fitToHeight="20" orientation="landscape" r:id="rId1"/>
  <headerFooter>
    <oddHeader xml:space="preserve">&amp;L </oddHeader>
    <oddFooter>&amp;R&amp;"Georgia,Normal"&amp;8&amp;P de &amp;N páginas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2"/>
  <sheetViews>
    <sheetView tabSelected="1" view="pageBreakPreview" topLeftCell="A3" zoomScale="90" zoomScaleNormal="100" zoomScaleSheetLayoutView="90" workbookViewId="0">
      <selection activeCell="AA41" sqref="AA41"/>
    </sheetView>
  </sheetViews>
  <sheetFormatPr defaultRowHeight="14.25" x14ac:dyDescent="0.2"/>
  <cols>
    <col min="1" max="1" width="4" bestFit="1" customWidth="1"/>
    <col min="2" max="2" width="29.5" bestFit="1" customWidth="1"/>
    <col min="3" max="3" width="3.75" bestFit="1" customWidth="1"/>
    <col min="4" max="4" width="10.125" bestFit="1" customWidth="1"/>
    <col min="5" max="5" width="3.5" bestFit="1" customWidth="1"/>
    <col min="6" max="6" width="11.125" bestFit="1" customWidth="1"/>
    <col min="7" max="7" width="3.5" bestFit="1" customWidth="1"/>
    <col min="8" max="8" width="11.125" bestFit="1" customWidth="1"/>
    <col min="9" max="9" width="4" customWidth="1"/>
    <col min="10" max="10" width="11.125" bestFit="1" customWidth="1"/>
    <col min="11" max="11" width="4.125" customWidth="1"/>
    <col min="12" max="12" width="11.125" bestFit="1" customWidth="1"/>
    <col min="13" max="13" width="3.75" bestFit="1" customWidth="1"/>
    <col min="14" max="14" width="11.125" bestFit="1" customWidth="1"/>
    <col min="15" max="15" width="4.5" bestFit="1" customWidth="1"/>
    <col min="16" max="16" width="11.125" bestFit="1" customWidth="1"/>
    <col min="17" max="17" width="3.5" bestFit="1" customWidth="1"/>
    <col min="18" max="18" width="11.125" bestFit="1" customWidth="1"/>
    <col min="19" max="19" width="4.125" customWidth="1"/>
    <col min="20" max="20" width="11.125" bestFit="1" customWidth="1"/>
    <col min="21" max="21" width="4.5" bestFit="1" customWidth="1"/>
    <col min="22" max="22" width="11.125" bestFit="1" customWidth="1"/>
    <col min="23" max="23" width="3.75" bestFit="1" customWidth="1"/>
    <col min="24" max="24" width="11.125" bestFit="1" customWidth="1"/>
    <col min="25" max="25" width="3.5" bestFit="1" customWidth="1"/>
    <col min="26" max="26" width="11.125" bestFit="1" customWidth="1"/>
    <col min="27" max="27" width="7.625" bestFit="1" customWidth="1"/>
    <col min="28" max="28" width="12.75" bestFit="1" customWidth="1"/>
    <col min="29" max="29" width="9.875" bestFit="1" customWidth="1"/>
    <col min="30" max="30" width="11.125" bestFit="1" customWidth="1"/>
  </cols>
  <sheetData>
    <row r="1" spans="1:30" ht="14.25" customHeight="1" x14ac:dyDescent="0.25">
      <c r="A1" s="387" t="s">
        <v>767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  <c r="W1" s="388"/>
      <c r="X1" s="388"/>
      <c r="Y1" s="388"/>
      <c r="Z1" s="388"/>
      <c r="AA1" s="388"/>
      <c r="AB1" s="389"/>
    </row>
    <row r="2" spans="1:30" ht="15" x14ac:dyDescent="0.25">
      <c r="A2" s="390" t="s">
        <v>768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  <c r="AB2" s="391"/>
    </row>
    <row r="3" spans="1:30" ht="15.75" customHeight="1" x14ac:dyDescent="0.2">
      <c r="A3" s="392" t="s">
        <v>769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  <c r="R3" s="378"/>
      <c r="S3" s="378"/>
      <c r="T3" s="378"/>
      <c r="U3" s="378"/>
      <c r="V3" s="378"/>
      <c r="W3" s="378"/>
      <c r="X3" s="378"/>
      <c r="Y3" s="378"/>
      <c r="Z3" s="378"/>
      <c r="AA3" s="378"/>
      <c r="AB3" s="393"/>
    </row>
    <row r="4" spans="1:30" ht="15" customHeight="1" x14ac:dyDescent="0.2">
      <c r="A4" s="394" t="s">
        <v>1028</v>
      </c>
      <c r="B4" s="379"/>
      <c r="C4" s="379"/>
      <c r="D4" s="379"/>
      <c r="E4" s="379"/>
      <c r="F4" s="379"/>
      <c r="G4" s="379"/>
      <c r="H4" s="379"/>
      <c r="I4" s="379"/>
      <c r="J4" s="379"/>
      <c r="K4" s="379"/>
      <c r="L4" s="379"/>
      <c r="M4" s="379"/>
      <c r="N4" s="379"/>
      <c r="O4" s="379"/>
      <c r="P4" s="379"/>
      <c r="Q4" s="379"/>
      <c r="R4" s="379"/>
      <c r="S4" s="379"/>
      <c r="T4" s="379"/>
      <c r="U4" s="379"/>
      <c r="V4" s="379"/>
      <c r="W4" s="379"/>
      <c r="X4" s="379"/>
      <c r="Y4" s="379"/>
      <c r="Z4" s="379"/>
      <c r="AA4" s="379"/>
      <c r="AB4" s="395"/>
    </row>
    <row r="5" spans="1:30" ht="14.25" customHeight="1" x14ac:dyDescent="0.2">
      <c r="A5" s="385" t="s">
        <v>1063</v>
      </c>
      <c r="B5" s="365"/>
      <c r="C5" s="365"/>
      <c r="D5" s="365"/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5"/>
      <c r="P5" s="365"/>
      <c r="Q5" s="365"/>
      <c r="R5" s="365"/>
      <c r="S5" s="365"/>
      <c r="T5" s="365"/>
      <c r="U5" s="365"/>
      <c r="V5" s="365"/>
      <c r="W5" s="365"/>
      <c r="X5" s="365"/>
      <c r="Y5" s="365"/>
      <c r="Z5" s="365"/>
      <c r="AA5" s="365"/>
      <c r="AB5" s="386"/>
    </row>
    <row r="6" spans="1:30" ht="15.75" customHeight="1" x14ac:dyDescent="0.2">
      <c r="A6" s="385" t="s">
        <v>817</v>
      </c>
      <c r="B6" s="365"/>
      <c r="C6" s="365"/>
      <c r="D6" s="365"/>
      <c r="E6" s="365"/>
      <c r="F6" s="365"/>
      <c r="G6" s="365"/>
      <c r="H6" s="365"/>
      <c r="I6" s="365"/>
      <c r="J6" s="365"/>
      <c r="K6" s="365"/>
      <c r="L6" s="365"/>
      <c r="M6" s="365"/>
      <c r="N6" s="365"/>
      <c r="O6" s="365"/>
      <c r="P6" s="365"/>
      <c r="Q6" s="365"/>
      <c r="R6" s="365"/>
      <c r="S6" s="365"/>
      <c r="T6" s="365"/>
      <c r="U6" s="365"/>
      <c r="V6" s="365"/>
      <c r="W6" s="365"/>
      <c r="X6" s="365"/>
      <c r="Y6" s="365"/>
      <c r="Z6" s="365"/>
      <c r="AA6" s="365"/>
      <c r="AB6" s="386"/>
    </row>
    <row r="7" spans="1:30" ht="15.75" customHeight="1" x14ac:dyDescent="0.2">
      <c r="A7" s="498" t="s">
        <v>1146</v>
      </c>
      <c r="B7" s="499"/>
      <c r="C7" s="499"/>
      <c r="D7" s="499"/>
      <c r="E7" s="499"/>
      <c r="F7" s="499"/>
      <c r="G7" s="499"/>
      <c r="H7" s="499"/>
      <c r="I7" s="499"/>
      <c r="J7" s="499"/>
      <c r="K7" s="499"/>
      <c r="L7" s="499"/>
      <c r="M7" s="499"/>
      <c r="N7" s="499"/>
      <c r="O7" s="499"/>
      <c r="P7" s="499"/>
      <c r="Q7" s="499"/>
      <c r="R7" s="499"/>
      <c r="S7" s="499"/>
      <c r="T7" s="499"/>
      <c r="U7" s="499"/>
      <c r="V7" s="499"/>
      <c r="W7" s="499"/>
      <c r="X7" s="499"/>
      <c r="Y7" s="499"/>
      <c r="Z7" s="499"/>
      <c r="AA7" s="499"/>
      <c r="AB7" s="500"/>
    </row>
    <row r="8" spans="1:30" ht="15.75" customHeight="1" thickBot="1" x14ac:dyDescent="0.25">
      <c r="A8" s="396" t="s">
        <v>1193</v>
      </c>
      <c r="B8" s="397"/>
      <c r="C8" s="397"/>
      <c r="D8" s="397"/>
      <c r="E8" s="397"/>
      <c r="F8" s="397"/>
      <c r="G8" s="397"/>
      <c r="H8" s="397"/>
      <c r="I8" s="397"/>
      <c r="J8" s="397"/>
      <c r="K8" s="397"/>
      <c r="L8" s="397"/>
      <c r="M8" s="397"/>
      <c r="N8" s="397"/>
      <c r="O8" s="397"/>
      <c r="P8" s="397"/>
      <c r="Q8" s="397"/>
      <c r="R8" s="397"/>
      <c r="S8" s="397"/>
      <c r="T8" s="397"/>
      <c r="U8" s="397"/>
      <c r="V8" s="397"/>
      <c r="W8" s="397"/>
      <c r="X8" s="397"/>
      <c r="Y8" s="397"/>
      <c r="Z8" s="397"/>
      <c r="AA8" s="397"/>
      <c r="AB8" s="398"/>
    </row>
    <row r="9" spans="1:30" x14ac:dyDescent="0.2">
      <c r="A9" s="399" t="s">
        <v>1147</v>
      </c>
      <c r="B9" s="401" t="s">
        <v>1148</v>
      </c>
      <c r="C9" s="380" t="s">
        <v>1149</v>
      </c>
      <c r="D9" s="380"/>
      <c r="E9" s="380" t="s">
        <v>1150</v>
      </c>
      <c r="F9" s="380"/>
      <c r="G9" s="380" t="s">
        <v>1151</v>
      </c>
      <c r="H9" s="380"/>
      <c r="I9" s="380" t="s">
        <v>1152</v>
      </c>
      <c r="J9" s="380"/>
      <c r="K9" s="380" t="s">
        <v>1153</v>
      </c>
      <c r="L9" s="380"/>
      <c r="M9" s="380" t="s">
        <v>1154</v>
      </c>
      <c r="N9" s="380"/>
      <c r="O9" s="380" t="s">
        <v>1155</v>
      </c>
      <c r="P9" s="380"/>
      <c r="Q9" s="380" t="s">
        <v>1156</v>
      </c>
      <c r="R9" s="380"/>
      <c r="S9" s="380" t="s">
        <v>1157</v>
      </c>
      <c r="T9" s="380"/>
      <c r="U9" s="380" t="s">
        <v>1158</v>
      </c>
      <c r="V9" s="380"/>
      <c r="W9" s="380" t="s">
        <v>1159</v>
      </c>
      <c r="X9" s="380"/>
      <c r="Y9" s="383" t="s">
        <v>1160</v>
      </c>
      <c r="Z9" s="384"/>
      <c r="AA9" s="170" t="s">
        <v>1161</v>
      </c>
      <c r="AB9" s="381" t="s">
        <v>1162</v>
      </c>
    </row>
    <row r="10" spans="1:30" x14ac:dyDescent="0.2">
      <c r="A10" s="400"/>
      <c r="B10" s="402"/>
      <c r="C10" s="171" t="s">
        <v>1161</v>
      </c>
      <c r="D10" s="172" t="s">
        <v>1163</v>
      </c>
      <c r="E10" s="171" t="s">
        <v>1161</v>
      </c>
      <c r="F10" s="172" t="s">
        <v>1163</v>
      </c>
      <c r="G10" s="171" t="s">
        <v>1161</v>
      </c>
      <c r="H10" s="172" t="s">
        <v>1163</v>
      </c>
      <c r="I10" s="171" t="s">
        <v>1161</v>
      </c>
      <c r="J10" s="172" t="s">
        <v>1163</v>
      </c>
      <c r="K10" s="171" t="s">
        <v>1161</v>
      </c>
      <c r="L10" s="172" t="s">
        <v>1163</v>
      </c>
      <c r="M10" s="171" t="s">
        <v>1161</v>
      </c>
      <c r="N10" s="172" t="s">
        <v>1163</v>
      </c>
      <c r="O10" s="171" t="s">
        <v>1161</v>
      </c>
      <c r="P10" s="172" t="s">
        <v>1163</v>
      </c>
      <c r="Q10" s="171" t="s">
        <v>1161</v>
      </c>
      <c r="R10" s="172" t="s">
        <v>1163</v>
      </c>
      <c r="S10" s="171" t="s">
        <v>1161</v>
      </c>
      <c r="T10" s="172" t="s">
        <v>1163</v>
      </c>
      <c r="U10" s="171" t="s">
        <v>1161</v>
      </c>
      <c r="V10" s="172" t="s">
        <v>1163</v>
      </c>
      <c r="W10" s="171" t="s">
        <v>1161</v>
      </c>
      <c r="X10" s="172" t="s">
        <v>1163</v>
      </c>
      <c r="Y10" s="171" t="s">
        <v>1161</v>
      </c>
      <c r="Z10" s="172" t="s">
        <v>1163</v>
      </c>
      <c r="AA10" s="172" t="s">
        <v>1164</v>
      </c>
      <c r="AB10" s="382"/>
    </row>
    <row r="11" spans="1:30" x14ac:dyDescent="0.2">
      <c r="A11" s="173" t="s">
        <v>1165</v>
      </c>
      <c r="B11" s="174" t="s">
        <v>1</v>
      </c>
      <c r="C11" s="175">
        <v>60</v>
      </c>
      <c r="D11" s="176">
        <f t="shared" ref="D11:D37" si="0">(C11*AB11)/100</f>
        <v>3585.42</v>
      </c>
      <c r="E11" s="177">
        <v>10</v>
      </c>
      <c r="F11" s="176">
        <f>(E11*AB11)/100</f>
        <v>597.57000000000005</v>
      </c>
      <c r="G11" s="175">
        <v>10</v>
      </c>
      <c r="H11" s="176">
        <f>(G11*AB11)/100</f>
        <v>597.57000000000005</v>
      </c>
      <c r="I11" s="175">
        <v>10</v>
      </c>
      <c r="J11" s="176">
        <f>(I11*AB11)/100</f>
        <v>597.57000000000005</v>
      </c>
      <c r="K11" s="175">
        <v>10</v>
      </c>
      <c r="L11" s="176">
        <f>(K11*AB11)/100</f>
        <v>597.57000000000005</v>
      </c>
      <c r="M11" s="177"/>
      <c r="N11" s="176">
        <f>(M11*AB11)/100</f>
        <v>0</v>
      </c>
      <c r="O11" s="177"/>
      <c r="P11" s="176">
        <f>(O11*AB11)/100</f>
        <v>0</v>
      </c>
      <c r="Q11" s="177"/>
      <c r="R11" s="176">
        <f>(Q11*AB11)/100</f>
        <v>0</v>
      </c>
      <c r="S11" s="177"/>
      <c r="T11" s="176">
        <f>(S11*AB11)/100</f>
        <v>0</v>
      </c>
      <c r="U11" s="177"/>
      <c r="V11" s="176">
        <f>(U11*AB11)/100</f>
        <v>0</v>
      </c>
      <c r="W11" s="177"/>
      <c r="X11" s="176">
        <f>(W11*AB11)/100</f>
        <v>0</v>
      </c>
      <c r="Y11" s="177"/>
      <c r="Z11" s="176">
        <f>(Y11*AB11)/100</f>
        <v>0</v>
      </c>
      <c r="AA11" s="178">
        <f>AB11/AB38*100</f>
        <v>0.24125042399589419</v>
      </c>
      <c r="AB11" s="179">
        <f>'Planilha Sintético Estimativa'!I12</f>
        <v>5975.7</v>
      </c>
      <c r="AC11" s="1"/>
      <c r="AD11" s="180"/>
    </row>
    <row r="12" spans="1:30" x14ac:dyDescent="0.2">
      <c r="A12" s="173" t="s">
        <v>1166</v>
      </c>
      <c r="B12" s="181" t="s">
        <v>12</v>
      </c>
      <c r="C12" s="177">
        <v>8</v>
      </c>
      <c r="D12" s="176">
        <f t="shared" si="0"/>
        <v>5136.4704000000002</v>
      </c>
      <c r="E12" s="177">
        <v>8</v>
      </c>
      <c r="F12" s="176">
        <f t="shared" ref="F12:F37" si="1">(E12*AB12)/100</f>
        <v>5136.4704000000002</v>
      </c>
      <c r="G12" s="177">
        <v>9</v>
      </c>
      <c r="H12" s="176">
        <f t="shared" ref="H12:H37" si="2">(G12*AB12)/100</f>
        <v>5778.5292000000009</v>
      </c>
      <c r="I12" s="177">
        <v>9</v>
      </c>
      <c r="J12" s="176">
        <f t="shared" ref="J12:J37" si="3">(I12*AB12)/100</f>
        <v>5778.5292000000009</v>
      </c>
      <c r="K12" s="177">
        <v>8</v>
      </c>
      <c r="L12" s="176">
        <f t="shared" ref="L12:L37" si="4">(K12*AB12)/100</f>
        <v>5136.4704000000002</v>
      </c>
      <c r="M12" s="177">
        <v>8</v>
      </c>
      <c r="N12" s="176">
        <f t="shared" ref="N12:N37" si="5">(M12*AB12)/100</f>
        <v>5136.4704000000002</v>
      </c>
      <c r="O12" s="177">
        <v>8</v>
      </c>
      <c r="P12" s="176">
        <f t="shared" ref="P12:P37" si="6">(O12*AB12)/100</f>
        <v>5136.4704000000002</v>
      </c>
      <c r="Q12" s="177">
        <v>8</v>
      </c>
      <c r="R12" s="176">
        <f t="shared" ref="R12:R37" si="7">(Q12*AB12)/100</f>
        <v>5136.4704000000002</v>
      </c>
      <c r="S12" s="177">
        <v>8</v>
      </c>
      <c r="T12" s="176">
        <f t="shared" ref="T12:T37" si="8">(S12*AB12)/100</f>
        <v>5136.4704000000002</v>
      </c>
      <c r="U12" s="177">
        <v>9</v>
      </c>
      <c r="V12" s="176">
        <f t="shared" ref="V12:V37" si="9">(U12*AB12)/100</f>
        <v>5778.5292000000009</v>
      </c>
      <c r="W12" s="177">
        <v>9</v>
      </c>
      <c r="X12" s="176">
        <f t="shared" ref="X12:X37" si="10">(W12*AB12)/100</f>
        <v>5778.5292000000009</v>
      </c>
      <c r="Y12" s="177">
        <v>8</v>
      </c>
      <c r="Z12" s="176">
        <f t="shared" ref="Z12:Z37" si="11">(Y12*AB12)/100</f>
        <v>5136.4704000000002</v>
      </c>
      <c r="AA12" s="178">
        <f>AB12/AB38*100</f>
        <v>2.5921140239686573</v>
      </c>
      <c r="AB12" s="182">
        <f>'Planilha Sintético Estimativa'!I20</f>
        <v>64205.880000000005</v>
      </c>
      <c r="AC12" s="1"/>
      <c r="AD12" s="180"/>
    </row>
    <row r="13" spans="1:30" x14ac:dyDescent="0.2">
      <c r="A13" s="173" t="s">
        <v>1167</v>
      </c>
      <c r="B13" s="181" t="s">
        <v>67</v>
      </c>
      <c r="C13" s="177">
        <v>10</v>
      </c>
      <c r="D13" s="176">
        <f t="shared" si="0"/>
        <v>659.64199999999994</v>
      </c>
      <c r="E13" s="177">
        <v>10</v>
      </c>
      <c r="F13" s="176">
        <f t="shared" si="1"/>
        <v>659.64199999999994</v>
      </c>
      <c r="G13" s="177">
        <v>10</v>
      </c>
      <c r="H13" s="176">
        <f t="shared" si="2"/>
        <v>659.64199999999994</v>
      </c>
      <c r="I13" s="177">
        <v>10</v>
      </c>
      <c r="J13" s="176">
        <f t="shared" si="3"/>
        <v>659.64199999999994</v>
      </c>
      <c r="K13" s="177">
        <v>10</v>
      </c>
      <c r="L13" s="176">
        <f t="shared" si="4"/>
        <v>659.64199999999994</v>
      </c>
      <c r="M13" s="177">
        <v>10</v>
      </c>
      <c r="N13" s="176">
        <f t="shared" si="5"/>
        <v>659.64199999999994</v>
      </c>
      <c r="O13" s="177">
        <v>15</v>
      </c>
      <c r="P13" s="176">
        <f t="shared" si="6"/>
        <v>989.46300000000008</v>
      </c>
      <c r="Q13" s="177">
        <v>5</v>
      </c>
      <c r="R13" s="176">
        <f t="shared" si="7"/>
        <v>329.82099999999997</v>
      </c>
      <c r="S13" s="177">
        <v>10</v>
      </c>
      <c r="T13" s="176">
        <f t="shared" si="8"/>
        <v>659.64199999999994</v>
      </c>
      <c r="U13" s="177">
        <v>10</v>
      </c>
      <c r="V13" s="176">
        <f t="shared" si="9"/>
        <v>659.64199999999994</v>
      </c>
      <c r="W13" s="177"/>
      <c r="X13" s="176">
        <f t="shared" si="10"/>
        <v>0</v>
      </c>
      <c r="Y13" s="177"/>
      <c r="Z13" s="176">
        <f t="shared" si="11"/>
        <v>0</v>
      </c>
      <c r="AA13" s="178">
        <f>AB13/AB38*100</f>
        <v>0.26631007611744173</v>
      </c>
      <c r="AB13" s="179">
        <f>'Planilha Sintético Estimativa'!I46</f>
        <v>6596.42</v>
      </c>
      <c r="AC13" s="1"/>
      <c r="AD13" s="180"/>
    </row>
    <row r="14" spans="1:30" x14ac:dyDescent="0.2">
      <c r="A14" s="173" t="s">
        <v>1168</v>
      </c>
      <c r="B14" s="181" t="s">
        <v>73</v>
      </c>
      <c r="C14" s="175">
        <v>5</v>
      </c>
      <c r="D14" s="176">
        <f t="shared" si="0"/>
        <v>3080.5535</v>
      </c>
      <c r="E14" s="177">
        <v>5</v>
      </c>
      <c r="F14" s="176">
        <f t="shared" si="1"/>
        <v>3080.5535</v>
      </c>
      <c r="G14" s="175">
        <v>8</v>
      </c>
      <c r="H14" s="176">
        <f t="shared" si="2"/>
        <v>4928.8855999999996</v>
      </c>
      <c r="I14" s="175">
        <v>5</v>
      </c>
      <c r="J14" s="176">
        <f t="shared" si="3"/>
        <v>3080.5535</v>
      </c>
      <c r="K14" s="175">
        <v>7</v>
      </c>
      <c r="L14" s="176">
        <f t="shared" si="4"/>
        <v>4312.7749000000003</v>
      </c>
      <c r="M14" s="177">
        <v>15</v>
      </c>
      <c r="N14" s="176">
        <f t="shared" si="5"/>
        <v>9241.6605</v>
      </c>
      <c r="O14" s="177">
        <v>15</v>
      </c>
      <c r="P14" s="176">
        <f t="shared" si="6"/>
        <v>9241.6605</v>
      </c>
      <c r="Q14" s="177">
        <v>10</v>
      </c>
      <c r="R14" s="176">
        <f t="shared" si="7"/>
        <v>6161.107</v>
      </c>
      <c r="S14" s="177">
        <v>20</v>
      </c>
      <c r="T14" s="176">
        <f t="shared" si="8"/>
        <v>12322.214</v>
      </c>
      <c r="U14" s="177">
        <v>10</v>
      </c>
      <c r="V14" s="176">
        <f t="shared" si="9"/>
        <v>6161.107</v>
      </c>
      <c r="W14" s="177"/>
      <c r="X14" s="176">
        <f t="shared" si="10"/>
        <v>0</v>
      </c>
      <c r="Y14" s="177"/>
      <c r="Z14" s="176">
        <f t="shared" si="11"/>
        <v>0</v>
      </c>
      <c r="AA14" s="178">
        <f>AB14/AB38*100</f>
        <v>2.487356587569777</v>
      </c>
      <c r="AB14" s="179">
        <f>'Planilha Sintético Estimativa'!I50</f>
        <v>61611.07</v>
      </c>
      <c r="AC14" s="1"/>
      <c r="AD14" s="180"/>
    </row>
    <row r="15" spans="1:30" x14ac:dyDescent="0.2">
      <c r="A15" s="173" t="s">
        <v>1169</v>
      </c>
      <c r="B15" s="181" t="s">
        <v>97</v>
      </c>
      <c r="C15" s="175"/>
      <c r="D15" s="176">
        <f t="shared" si="0"/>
        <v>0</v>
      </c>
      <c r="E15" s="177">
        <v>10</v>
      </c>
      <c r="F15" s="176">
        <f t="shared" si="1"/>
        <v>7122.4469999999992</v>
      </c>
      <c r="G15" s="175">
        <v>10</v>
      </c>
      <c r="H15" s="176">
        <f t="shared" si="2"/>
        <v>7122.4469999999992</v>
      </c>
      <c r="I15" s="175">
        <v>10</v>
      </c>
      <c r="J15" s="176">
        <f t="shared" si="3"/>
        <v>7122.4469999999992</v>
      </c>
      <c r="K15" s="175">
        <v>10</v>
      </c>
      <c r="L15" s="176">
        <f t="shared" si="4"/>
        <v>7122.4469999999992</v>
      </c>
      <c r="M15" s="177">
        <v>10</v>
      </c>
      <c r="N15" s="176">
        <f t="shared" si="5"/>
        <v>7122.4469999999992</v>
      </c>
      <c r="O15" s="177">
        <v>10</v>
      </c>
      <c r="P15" s="176">
        <f t="shared" si="6"/>
        <v>7122.4469999999992</v>
      </c>
      <c r="Q15" s="177">
        <v>10</v>
      </c>
      <c r="R15" s="176">
        <f t="shared" si="7"/>
        <v>7122.4469999999992</v>
      </c>
      <c r="S15" s="177">
        <v>10</v>
      </c>
      <c r="T15" s="176">
        <f t="shared" si="8"/>
        <v>7122.4469999999992</v>
      </c>
      <c r="U15" s="177">
        <v>10</v>
      </c>
      <c r="V15" s="176">
        <f t="shared" si="9"/>
        <v>7122.4469999999992</v>
      </c>
      <c r="W15" s="177">
        <v>5</v>
      </c>
      <c r="X15" s="176">
        <f t="shared" si="10"/>
        <v>3561.2234999999996</v>
      </c>
      <c r="Y15" s="177">
        <v>5</v>
      </c>
      <c r="Z15" s="176">
        <f t="shared" si="11"/>
        <v>3561.2234999999996</v>
      </c>
      <c r="AA15" s="178">
        <f>AB15/AB38*100</f>
        <v>2.8754679094303341</v>
      </c>
      <c r="AB15" s="179">
        <f>'Planilha Sintético Estimativa'!I75</f>
        <v>71224.47</v>
      </c>
      <c r="AC15" s="1"/>
      <c r="AD15" s="180"/>
    </row>
    <row r="16" spans="1:30" x14ac:dyDescent="0.2">
      <c r="A16" s="173" t="s">
        <v>1170</v>
      </c>
      <c r="B16" s="181" t="s">
        <v>109</v>
      </c>
      <c r="C16" s="175"/>
      <c r="D16" s="176">
        <f t="shared" si="0"/>
        <v>0</v>
      </c>
      <c r="E16" s="177">
        <v>20</v>
      </c>
      <c r="F16" s="176">
        <f t="shared" si="1"/>
        <v>8015.6339999999991</v>
      </c>
      <c r="G16" s="175">
        <v>20</v>
      </c>
      <c r="H16" s="176">
        <f t="shared" si="2"/>
        <v>8015.6339999999991</v>
      </c>
      <c r="I16" s="175">
        <v>20</v>
      </c>
      <c r="J16" s="176">
        <f t="shared" si="3"/>
        <v>8015.6339999999991</v>
      </c>
      <c r="K16" s="175">
        <v>10</v>
      </c>
      <c r="L16" s="176">
        <f t="shared" si="4"/>
        <v>4007.8169999999996</v>
      </c>
      <c r="M16" s="177">
        <v>10</v>
      </c>
      <c r="N16" s="176">
        <f t="shared" si="5"/>
        <v>4007.8169999999996</v>
      </c>
      <c r="O16" s="177">
        <v>10</v>
      </c>
      <c r="P16" s="176">
        <f t="shared" si="6"/>
        <v>4007.8169999999996</v>
      </c>
      <c r="Q16" s="177">
        <v>5</v>
      </c>
      <c r="R16" s="176">
        <f>(Q16*AB16)/100</f>
        <v>2003.9084999999998</v>
      </c>
      <c r="S16" s="177">
        <v>5</v>
      </c>
      <c r="T16" s="176">
        <f t="shared" si="8"/>
        <v>2003.9084999999998</v>
      </c>
      <c r="U16" s="177"/>
      <c r="V16" s="176">
        <f t="shared" si="9"/>
        <v>0</v>
      </c>
      <c r="W16" s="177"/>
      <c r="X16" s="176">
        <f t="shared" si="10"/>
        <v>0</v>
      </c>
      <c r="Y16" s="177"/>
      <c r="Z16" s="176">
        <f t="shared" si="11"/>
        <v>0</v>
      </c>
      <c r="AA16" s="178">
        <f>AB16/AB38*100</f>
        <v>1.6180322816539532</v>
      </c>
      <c r="AB16" s="179">
        <f>'Planilha Sintético Estimativa'!I82</f>
        <v>40078.17</v>
      </c>
      <c r="AC16" s="1"/>
      <c r="AD16" s="180"/>
    </row>
    <row r="17" spans="1:30" x14ac:dyDescent="0.2">
      <c r="A17" s="173" t="s">
        <v>1171</v>
      </c>
      <c r="B17" s="183" t="s">
        <v>129</v>
      </c>
      <c r="C17" s="184"/>
      <c r="D17" s="176">
        <f t="shared" si="0"/>
        <v>0</v>
      </c>
      <c r="E17" s="185">
        <v>10</v>
      </c>
      <c r="F17" s="176">
        <f t="shared" si="1"/>
        <v>26991.010999999995</v>
      </c>
      <c r="G17" s="184">
        <v>10</v>
      </c>
      <c r="H17" s="176">
        <f t="shared" si="2"/>
        <v>26991.010999999995</v>
      </c>
      <c r="I17" s="184">
        <v>10</v>
      </c>
      <c r="J17" s="176">
        <f t="shared" si="3"/>
        <v>26991.010999999995</v>
      </c>
      <c r="K17" s="184">
        <v>8</v>
      </c>
      <c r="L17" s="176">
        <f t="shared" si="4"/>
        <v>21592.808799999999</v>
      </c>
      <c r="M17" s="185">
        <v>8</v>
      </c>
      <c r="N17" s="176">
        <f t="shared" si="5"/>
        <v>21592.808799999999</v>
      </c>
      <c r="O17" s="185">
        <v>8</v>
      </c>
      <c r="P17" s="176">
        <f t="shared" si="6"/>
        <v>21592.808799999999</v>
      </c>
      <c r="Q17" s="185">
        <v>8</v>
      </c>
      <c r="R17" s="176">
        <f t="shared" si="7"/>
        <v>21592.808799999999</v>
      </c>
      <c r="S17" s="185">
        <v>8</v>
      </c>
      <c r="T17" s="176">
        <f t="shared" si="8"/>
        <v>21592.808799999999</v>
      </c>
      <c r="U17" s="185">
        <v>10</v>
      </c>
      <c r="V17" s="176">
        <f>(U17*AB17)/100</f>
        <v>26991.010999999995</v>
      </c>
      <c r="W17" s="185">
        <v>10</v>
      </c>
      <c r="X17" s="176">
        <f t="shared" si="10"/>
        <v>26991.010999999995</v>
      </c>
      <c r="Y17" s="185">
        <v>10</v>
      </c>
      <c r="Z17" s="176">
        <f t="shared" si="11"/>
        <v>26991.010999999995</v>
      </c>
      <c r="AA17" s="178">
        <f>AB17/AB38*100</f>
        <v>10.896786732646961</v>
      </c>
      <c r="AB17" s="186">
        <f>'Planilha Sintético Estimativa'!I91</f>
        <v>269910.11</v>
      </c>
      <c r="AC17" s="1"/>
      <c r="AD17" s="180"/>
    </row>
    <row r="18" spans="1:30" x14ac:dyDescent="0.2">
      <c r="A18" s="173" t="s">
        <v>1172</v>
      </c>
      <c r="B18" s="183" t="s">
        <v>189</v>
      </c>
      <c r="C18" s="184">
        <v>5</v>
      </c>
      <c r="D18" s="176">
        <f t="shared" si="0"/>
        <v>3673.6424999999995</v>
      </c>
      <c r="E18" s="185">
        <v>10</v>
      </c>
      <c r="F18" s="176">
        <f t="shared" si="1"/>
        <v>7347.2849999999989</v>
      </c>
      <c r="G18" s="184">
        <v>10</v>
      </c>
      <c r="H18" s="176">
        <f t="shared" si="2"/>
        <v>7347.2849999999989</v>
      </c>
      <c r="I18" s="184">
        <v>10</v>
      </c>
      <c r="J18" s="176">
        <f t="shared" si="3"/>
        <v>7347.2849999999989</v>
      </c>
      <c r="K18" s="184">
        <v>8</v>
      </c>
      <c r="L18" s="176">
        <f t="shared" si="4"/>
        <v>5877.8279999999995</v>
      </c>
      <c r="M18" s="185">
        <v>8</v>
      </c>
      <c r="N18" s="176">
        <f t="shared" si="5"/>
        <v>5877.8279999999995</v>
      </c>
      <c r="O18" s="185">
        <v>8</v>
      </c>
      <c r="P18" s="176">
        <f t="shared" si="6"/>
        <v>5877.8279999999995</v>
      </c>
      <c r="Q18" s="185">
        <v>8</v>
      </c>
      <c r="R18" s="176">
        <f t="shared" si="7"/>
        <v>5877.8279999999995</v>
      </c>
      <c r="S18" s="185">
        <v>8</v>
      </c>
      <c r="T18" s="176">
        <f t="shared" si="8"/>
        <v>5877.8279999999995</v>
      </c>
      <c r="U18" s="185">
        <v>10</v>
      </c>
      <c r="V18" s="176">
        <f>(U18*AB18)/100</f>
        <v>7347.2849999999989</v>
      </c>
      <c r="W18" s="185">
        <v>10</v>
      </c>
      <c r="X18" s="176">
        <f t="shared" si="10"/>
        <v>7347.2849999999989</v>
      </c>
      <c r="Y18" s="185">
        <v>5</v>
      </c>
      <c r="Z18" s="176">
        <f t="shared" si="11"/>
        <v>3673.6424999999995</v>
      </c>
      <c r="AA18" s="178">
        <f>AB18/AB38*100</f>
        <v>2.9662393049662357</v>
      </c>
      <c r="AB18" s="186">
        <f>'Planilha Sintético Estimativa'!I120</f>
        <v>73472.849999999991</v>
      </c>
      <c r="AC18" s="1"/>
      <c r="AD18" s="180"/>
    </row>
    <row r="19" spans="1:30" x14ac:dyDescent="0.2">
      <c r="A19" s="173" t="s">
        <v>1173</v>
      </c>
      <c r="B19" s="183" t="s">
        <v>219</v>
      </c>
      <c r="C19" s="184">
        <v>5</v>
      </c>
      <c r="D19" s="176">
        <f t="shared" si="0"/>
        <v>5531.3224999999984</v>
      </c>
      <c r="E19" s="185">
        <v>10</v>
      </c>
      <c r="F19" s="176">
        <f t="shared" si="1"/>
        <v>11062.644999999997</v>
      </c>
      <c r="G19" s="184">
        <v>10</v>
      </c>
      <c r="H19" s="176">
        <f t="shared" si="2"/>
        <v>11062.644999999997</v>
      </c>
      <c r="I19" s="184">
        <v>10</v>
      </c>
      <c r="J19" s="176">
        <f t="shared" si="3"/>
        <v>11062.644999999997</v>
      </c>
      <c r="K19" s="184">
        <v>10</v>
      </c>
      <c r="L19" s="176">
        <f t="shared" si="4"/>
        <v>11062.644999999997</v>
      </c>
      <c r="M19" s="185">
        <v>10</v>
      </c>
      <c r="N19" s="176">
        <f t="shared" si="5"/>
        <v>11062.644999999997</v>
      </c>
      <c r="O19" s="185">
        <v>10</v>
      </c>
      <c r="P19" s="176">
        <f t="shared" si="6"/>
        <v>11062.644999999997</v>
      </c>
      <c r="Q19" s="185">
        <v>10</v>
      </c>
      <c r="R19" s="176">
        <f t="shared" si="7"/>
        <v>11062.644999999997</v>
      </c>
      <c r="S19" s="185">
        <v>10</v>
      </c>
      <c r="T19" s="176">
        <f t="shared" si="8"/>
        <v>11062.644999999997</v>
      </c>
      <c r="U19" s="185">
        <v>5</v>
      </c>
      <c r="V19" s="176">
        <f t="shared" si="9"/>
        <v>5531.3224999999984</v>
      </c>
      <c r="W19" s="185">
        <v>5</v>
      </c>
      <c r="X19" s="176">
        <f t="shared" si="10"/>
        <v>5531.3224999999984</v>
      </c>
      <c r="Y19" s="185">
        <v>5</v>
      </c>
      <c r="Z19" s="176">
        <f t="shared" si="11"/>
        <v>5531.3224999999984</v>
      </c>
      <c r="AA19" s="178">
        <f>AB19/AB38*100</f>
        <v>4.4662011091019611</v>
      </c>
      <c r="AB19" s="186">
        <f>'Planilha Sintético Estimativa'!I135</f>
        <v>110626.44999999998</v>
      </c>
      <c r="AC19" s="1"/>
      <c r="AD19" s="180"/>
    </row>
    <row r="20" spans="1:30" x14ac:dyDescent="0.2">
      <c r="A20" s="173" t="s">
        <v>1174</v>
      </c>
      <c r="B20" s="183" t="s">
        <v>235</v>
      </c>
      <c r="C20" s="184"/>
      <c r="D20" s="176">
        <f t="shared" si="0"/>
        <v>0</v>
      </c>
      <c r="E20" s="185">
        <v>5</v>
      </c>
      <c r="F20" s="176">
        <f t="shared" si="1"/>
        <v>7903.7535000000007</v>
      </c>
      <c r="G20" s="184">
        <v>10</v>
      </c>
      <c r="H20" s="176">
        <f t="shared" si="2"/>
        <v>15807.507000000001</v>
      </c>
      <c r="I20" s="184">
        <v>10</v>
      </c>
      <c r="J20" s="176">
        <f t="shared" si="3"/>
        <v>15807.507000000001</v>
      </c>
      <c r="K20" s="184">
        <v>10</v>
      </c>
      <c r="L20" s="176">
        <f t="shared" si="4"/>
        <v>15807.507000000001</v>
      </c>
      <c r="M20" s="185">
        <v>10</v>
      </c>
      <c r="N20" s="176">
        <f t="shared" si="5"/>
        <v>15807.507000000001</v>
      </c>
      <c r="O20" s="185">
        <v>10</v>
      </c>
      <c r="P20" s="176">
        <f t="shared" si="6"/>
        <v>15807.507000000001</v>
      </c>
      <c r="Q20" s="185">
        <v>10</v>
      </c>
      <c r="R20" s="176">
        <f t="shared" si="7"/>
        <v>15807.507000000001</v>
      </c>
      <c r="S20" s="185">
        <v>10</v>
      </c>
      <c r="T20" s="176">
        <f t="shared" si="8"/>
        <v>15807.507000000001</v>
      </c>
      <c r="U20" s="185">
        <v>10</v>
      </c>
      <c r="V20" s="176">
        <f t="shared" si="9"/>
        <v>15807.507000000001</v>
      </c>
      <c r="W20" s="185">
        <v>10</v>
      </c>
      <c r="X20" s="176">
        <f t="shared" si="10"/>
        <v>15807.507000000001</v>
      </c>
      <c r="Y20" s="185">
        <v>5</v>
      </c>
      <c r="Z20" s="176">
        <f t="shared" si="11"/>
        <v>7903.7535000000007</v>
      </c>
      <c r="AA20" s="178">
        <f>AB20/AB38*100</f>
        <v>6.3817925365531503</v>
      </c>
      <c r="AB20" s="186">
        <f>'Planilha Sintético Estimativa'!I142</f>
        <v>158075.07</v>
      </c>
      <c r="AC20" s="1"/>
      <c r="AD20" s="180"/>
    </row>
    <row r="21" spans="1:30" x14ac:dyDescent="0.2">
      <c r="A21" s="173" t="s">
        <v>1175</v>
      </c>
      <c r="B21" s="183" t="s">
        <v>283</v>
      </c>
      <c r="C21" s="184"/>
      <c r="D21" s="176">
        <f t="shared" si="0"/>
        <v>0</v>
      </c>
      <c r="E21" s="185">
        <v>5</v>
      </c>
      <c r="F21" s="176">
        <f t="shared" si="1"/>
        <v>1434.2650000000001</v>
      </c>
      <c r="G21" s="184">
        <v>10</v>
      </c>
      <c r="H21" s="176">
        <f t="shared" si="2"/>
        <v>2868.53</v>
      </c>
      <c r="I21" s="184">
        <v>10</v>
      </c>
      <c r="J21" s="176">
        <f t="shared" si="3"/>
        <v>2868.53</v>
      </c>
      <c r="K21" s="184">
        <v>10</v>
      </c>
      <c r="L21" s="176">
        <f t="shared" si="4"/>
        <v>2868.53</v>
      </c>
      <c r="M21" s="185">
        <v>10</v>
      </c>
      <c r="N21" s="176">
        <f t="shared" si="5"/>
        <v>2868.53</v>
      </c>
      <c r="O21" s="185">
        <v>10</v>
      </c>
      <c r="P21" s="176">
        <f t="shared" si="6"/>
        <v>2868.53</v>
      </c>
      <c r="Q21" s="185">
        <v>10</v>
      </c>
      <c r="R21" s="176">
        <f t="shared" si="7"/>
        <v>2868.53</v>
      </c>
      <c r="S21" s="185">
        <v>10</v>
      </c>
      <c r="T21" s="176">
        <f t="shared" si="8"/>
        <v>2868.53</v>
      </c>
      <c r="U21" s="185">
        <v>10</v>
      </c>
      <c r="V21" s="176">
        <f t="shared" si="9"/>
        <v>2868.53</v>
      </c>
      <c r="W21" s="185">
        <v>10</v>
      </c>
      <c r="X21" s="176">
        <f t="shared" si="10"/>
        <v>2868.53</v>
      </c>
      <c r="Y21" s="185">
        <v>5</v>
      </c>
      <c r="Z21" s="176">
        <f t="shared" si="11"/>
        <v>1434.2650000000001</v>
      </c>
      <c r="AA21" s="178">
        <f>AB21/AB38*100</f>
        <v>1.1580803566861495</v>
      </c>
      <c r="AB21" s="186">
        <f>'Planilha Sintético Estimativa'!I163</f>
        <v>28685.3</v>
      </c>
      <c r="AC21" s="1"/>
      <c r="AD21" s="180"/>
    </row>
    <row r="22" spans="1:30" x14ac:dyDescent="0.2">
      <c r="A22" s="173" t="s">
        <v>1176</v>
      </c>
      <c r="B22" s="183" t="s">
        <v>295</v>
      </c>
      <c r="C22" s="184"/>
      <c r="D22" s="176">
        <f t="shared" si="0"/>
        <v>0</v>
      </c>
      <c r="E22" s="185"/>
      <c r="F22" s="176">
        <f t="shared" si="1"/>
        <v>0</v>
      </c>
      <c r="G22" s="184">
        <v>10</v>
      </c>
      <c r="H22" s="176">
        <f t="shared" si="2"/>
        <v>5016.2150000000011</v>
      </c>
      <c r="I22" s="184">
        <v>10</v>
      </c>
      <c r="J22" s="176">
        <f t="shared" si="3"/>
        <v>5016.2150000000011</v>
      </c>
      <c r="K22" s="184">
        <v>10</v>
      </c>
      <c r="L22" s="176">
        <f t="shared" si="4"/>
        <v>5016.2150000000011</v>
      </c>
      <c r="M22" s="185">
        <v>10</v>
      </c>
      <c r="N22" s="176">
        <f t="shared" si="5"/>
        <v>5016.2150000000011</v>
      </c>
      <c r="O22" s="185">
        <v>10</v>
      </c>
      <c r="P22" s="176">
        <f t="shared" si="6"/>
        <v>5016.2150000000011</v>
      </c>
      <c r="Q22" s="185">
        <v>10</v>
      </c>
      <c r="R22" s="176">
        <f t="shared" si="7"/>
        <v>5016.2150000000011</v>
      </c>
      <c r="S22" s="185">
        <v>10</v>
      </c>
      <c r="T22" s="176">
        <f t="shared" si="8"/>
        <v>5016.2150000000011</v>
      </c>
      <c r="U22" s="185">
        <v>10</v>
      </c>
      <c r="V22" s="176">
        <f t="shared" si="9"/>
        <v>5016.2150000000011</v>
      </c>
      <c r="W22" s="185">
        <v>10</v>
      </c>
      <c r="X22" s="176">
        <f t="shared" si="10"/>
        <v>5016.2150000000011</v>
      </c>
      <c r="Y22" s="185">
        <v>10</v>
      </c>
      <c r="Z22" s="176">
        <f t="shared" si="11"/>
        <v>5016.2150000000011</v>
      </c>
      <c r="AA22" s="178">
        <f>AB22/AB38*100</f>
        <v>2.0251418170332594</v>
      </c>
      <c r="AB22" s="186">
        <f>'Planilha Sintético Estimativa'!I169</f>
        <v>50162.150000000009</v>
      </c>
      <c r="AC22" s="1"/>
      <c r="AD22" s="180"/>
    </row>
    <row r="23" spans="1:30" x14ac:dyDescent="0.2">
      <c r="A23" s="173" t="s">
        <v>1177</v>
      </c>
      <c r="B23" s="183" t="s">
        <v>304</v>
      </c>
      <c r="C23" s="184"/>
      <c r="D23" s="176">
        <f t="shared" si="0"/>
        <v>0</v>
      </c>
      <c r="E23" s="185"/>
      <c r="F23" s="176">
        <f t="shared" si="1"/>
        <v>0</v>
      </c>
      <c r="G23" s="184">
        <v>10</v>
      </c>
      <c r="H23" s="176">
        <f t="shared" si="2"/>
        <v>32391.437999999998</v>
      </c>
      <c r="I23" s="184">
        <v>10</v>
      </c>
      <c r="J23" s="176">
        <f t="shared" si="3"/>
        <v>32391.437999999998</v>
      </c>
      <c r="K23" s="184">
        <v>10</v>
      </c>
      <c r="L23" s="176">
        <f t="shared" si="4"/>
        <v>32391.437999999998</v>
      </c>
      <c r="M23" s="185">
        <v>10</v>
      </c>
      <c r="N23" s="176">
        <f t="shared" si="5"/>
        <v>32391.437999999998</v>
      </c>
      <c r="O23" s="185">
        <v>10</v>
      </c>
      <c r="P23" s="176">
        <f t="shared" si="6"/>
        <v>32391.437999999998</v>
      </c>
      <c r="Q23" s="185">
        <v>10</v>
      </c>
      <c r="R23" s="176">
        <f t="shared" si="7"/>
        <v>32391.437999999998</v>
      </c>
      <c r="S23" s="185">
        <v>10</v>
      </c>
      <c r="T23" s="176">
        <f t="shared" si="8"/>
        <v>32391.437999999998</v>
      </c>
      <c r="U23" s="185">
        <v>10</v>
      </c>
      <c r="V23" s="176">
        <f t="shared" si="9"/>
        <v>32391.437999999998</v>
      </c>
      <c r="W23" s="185">
        <v>10</v>
      </c>
      <c r="X23" s="176">
        <f t="shared" si="10"/>
        <v>32391.437999999998</v>
      </c>
      <c r="Y23" s="185">
        <v>10</v>
      </c>
      <c r="Z23" s="176">
        <f t="shared" si="11"/>
        <v>32391.437999999998</v>
      </c>
      <c r="AA23" s="178">
        <f>AB23/AB38*100</f>
        <v>13.07704227343528</v>
      </c>
      <c r="AB23" s="186">
        <f>'Planilha Sintético Estimativa'!I173</f>
        <v>323914.38</v>
      </c>
      <c r="AC23" s="1"/>
      <c r="AD23" s="180"/>
    </row>
    <row r="24" spans="1:30" x14ac:dyDescent="0.2">
      <c r="A24" s="173" t="s">
        <v>1178</v>
      </c>
      <c r="B24" s="183" t="s">
        <v>340</v>
      </c>
      <c r="C24" s="184"/>
      <c r="D24" s="176">
        <f t="shared" si="0"/>
        <v>0</v>
      </c>
      <c r="E24" s="185">
        <v>5</v>
      </c>
      <c r="F24" s="176">
        <f t="shared" si="1"/>
        <v>3399.4870000000001</v>
      </c>
      <c r="G24" s="184">
        <v>5</v>
      </c>
      <c r="H24" s="176">
        <f t="shared" si="2"/>
        <v>3399.4870000000001</v>
      </c>
      <c r="I24" s="184">
        <v>5</v>
      </c>
      <c r="J24" s="176">
        <f t="shared" si="3"/>
        <v>3399.4870000000001</v>
      </c>
      <c r="K24" s="184">
        <v>10</v>
      </c>
      <c r="L24" s="176">
        <f t="shared" si="4"/>
        <v>6798.9740000000002</v>
      </c>
      <c r="M24" s="185">
        <v>15</v>
      </c>
      <c r="N24" s="176">
        <f t="shared" si="5"/>
        <v>10198.461000000001</v>
      </c>
      <c r="O24" s="185">
        <v>15</v>
      </c>
      <c r="P24" s="176">
        <f t="shared" si="6"/>
        <v>10198.461000000001</v>
      </c>
      <c r="Q24" s="185">
        <v>15</v>
      </c>
      <c r="R24" s="176">
        <f t="shared" si="7"/>
        <v>10198.461000000001</v>
      </c>
      <c r="S24" s="185">
        <v>10</v>
      </c>
      <c r="T24" s="176">
        <f t="shared" si="8"/>
        <v>6798.9740000000002</v>
      </c>
      <c r="U24" s="185">
        <v>10</v>
      </c>
      <c r="V24" s="176">
        <f t="shared" si="9"/>
        <v>6798.9740000000002</v>
      </c>
      <c r="W24" s="185">
        <v>10</v>
      </c>
      <c r="X24" s="176">
        <f t="shared" si="10"/>
        <v>6798.9740000000002</v>
      </c>
      <c r="Y24" s="185"/>
      <c r="Z24" s="176">
        <f t="shared" si="11"/>
        <v>0</v>
      </c>
      <c r="AA24" s="178">
        <f>AB24/AB38*100</f>
        <v>2.7448756802333802</v>
      </c>
      <c r="AB24" s="186">
        <f>'Planilha Sintético Estimativa'!I191</f>
        <v>67989.740000000005</v>
      </c>
      <c r="AC24" s="1"/>
      <c r="AD24" s="180"/>
    </row>
    <row r="25" spans="1:30" x14ac:dyDescent="0.2">
      <c r="A25" s="173" t="s">
        <v>1179</v>
      </c>
      <c r="B25" s="183" t="s">
        <v>359</v>
      </c>
      <c r="C25" s="184"/>
      <c r="D25" s="176">
        <f t="shared" si="0"/>
        <v>0</v>
      </c>
      <c r="E25" s="185"/>
      <c r="F25" s="176">
        <f t="shared" si="1"/>
        <v>0</v>
      </c>
      <c r="G25" s="184">
        <v>5</v>
      </c>
      <c r="H25" s="176">
        <f t="shared" si="2"/>
        <v>1515.2645000000002</v>
      </c>
      <c r="I25" s="184">
        <v>5</v>
      </c>
      <c r="J25" s="176">
        <f t="shared" si="3"/>
        <v>1515.2645000000002</v>
      </c>
      <c r="K25" s="184">
        <v>10</v>
      </c>
      <c r="L25" s="176">
        <f t="shared" si="4"/>
        <v>3030.5290000000005</v>
      </c>
      <c r="M25" s="185">
        <v>10</v>
      </c>
      <c r="N25" s="176">
        <f t="shared" si="5"/>
        <v>3030.5290000000005</v>
      </c>
      <c r="O25" s="185">
        <v>10</v>
      </c>
      <c r="P25" s="176">
        <f t="shared" si="6"/>
        <v>3030.5290000000005</v>
      </c>
      <c r="Q25" s="185">
        <v>10</v>
      </c>
      <c r="R25" s="176">
        <f t="shared" si="7"/>
        <v>3030.5290000000005</v>
      </c>
      <c r="S25" s="185">
        <v>10</v>
      </c>
      <c r="T25" s="176">
        <f t="shared" si="8"/>
        <v>3030.5290000000005</v>
      </c>
      <c r="U25" s="185">
        <v>10</v>
      </c>
      <c r="V25" s="176">
        <f t="shared" si="9"/>
        <v>3030.5290000000005</v>
      </c>
      <c r="W25" s="185">
        <v>15</v>
      </c>
      <c r="X25" s="176">
        <f t="shared" si="10"/>
        <v>4545.7935000000007</v>
      </c>
      <c r="Y25" s="185">
        <v>15</v>
      </c>
      <c r="Z25" s="176">
        <f t="shared" si="11"/>
        <v>4545.7935000000007</v>
      </c>
      <c r="AA25" s="178">
        <f>AB25/AB38*100</f>
        <v>1.2234824475489956</v>
      </c>
      <c r="AB25" s="186">
        <f>'Planilha Sintético Estimativa'!I200</f>
        <v>30305.29</v>
      </c>
      <c r="AC25" s="1"/>
      <c r="AD25" s="180"/>
    </row>
    <row r="26" spans="1:30" x14ac:dyDescent="0.2">
      <c r="A26" s="173" t="s">
        <v>1180</v>
      </c>
      <c r="B26" s="183" t="s">
        <v>771</v>
      </c>
      <c r="C26" s="184"/>
      <c r="D26" s="176">
        <f t="shared" si="0"/>
        <v>0</v>
      </c>
      <c r="E26" s="185">
        <v>10</v>
      </c>
      <c r="F26" s="176">
        <f t="shared" si="1"/>
        <v>3254.7140000000004</v>
      </c>
      <c r="G26" s="184"/>
      <c r="H26" s="176">
        <f t="shared" si="2"/>
        <v>0</v>
      </c>
      <c r="I26" s="184">
        <v>10</v>
      </c>
      <c r="J26" s="176">
        <f t="shared" si="3"/>
        <v>3254.7140000000004</v>
      </c>
      <c r="K26" s="184">
        <v>5</v>
      </c>
      <c r="L26" s="176">
        <f t="shared" si="4"/>
        <v>1627.3570000000002</v>
      </c>
      <c r="M26" s="185">
        <v>5</v>
      </c>
      <c r="N26" s="176">
        <f t="shared" si="5"/>
        <v>1627.3570000000002</v>
      </c>
      <c r="O26" s="185">
        <v>5</v>
      </c>
      <c r="P26" s="176">
        <f t="shared" si="6"/>
        <v>1627.3570000000002</v>
      </c>
      <c r="Q26" s="185">
        <v>5</v>
      </c>
      <c r="R26" s="176">
        <f t="shared" si="7"/>
        <v>1627.3570000000002</v>
      </c>
      <c r="S26" s="185">
        <v>20</v>
      </c>
      <c r="T26" s="176">
        <f t="shared" si="8"/>
        <v>6509.4280000000008</v>
      </c>
      <c r="U26" s="185">
        <v>20</v>
      </c>
      <c r="V26" s="176">
        <f t="shared" si="9"/>
        <v>6509.4280000000008</v>
      </c>
      <c r="W26" s="185">
        <v>20</v>
      </c>
      <c r="X26" s="176">
        <f t="shared" si="10"/>
        <v>6509.4280000000008</v>
      </c>
      <c r="Y26" s="185"/>
      <c r="Z26" s="176">
        <f t="shared" si="11"/>
        <v>0</v>
      </c>
      <c r="AA26" s="178">
        <f>AB26/AB38*100</f>
        <v>1.3139902145110578</v>
      </c>
      <c r="AB26" s="186">
        <f>'Planilha Sintético Estimativa'!I205</f>
        <v>32547.14</v>
      </c>
      <c r="AC26" s="1"/>
      <c r="AD26" s="180"/>
    </row>
    <row r="27" spans="1:30" x14ac:dyDescent="0.2">
      <c r="A27" s="173" t="s">
        <v>1181</v>
      </c>
      <c r="B27" s="183" t="s">
        <v>379</v>
      </c>
      <c r="C27" s="184">
        <v>6</v>
      </c>
      <c r="D27" s="176">
        <f t="shared" si="0"/>
        <v>4848.2070000000003</v>
      </c>
      <c r="E27" s="185"/>
      <c r="F27" s="176">
        <f t="shared" si="1"/>
        <v>0</v>
      </c>
      <c r="G27" s="184">
        <v>10</v>
      </c>
      <c r="H27" s="176">
        <f t="shared" si="2"/>
        <v>8080.3450000000012</v>
      </c>
      <c r="I27" s="184">
        <v>10</v>
      </c>
      <c r="J27" s="176">
        <f t="shared" si="3"/>
        <v>8080.3450000000012</v>
      </c>
      <c r="K27" s="184">
        <v>10</v>
      </c>
      <c r="L27" s="176">
        <f t="shared" si="4"/>
        <v>8080.3450000000012</v>
      </c>
      <c r="M27" s="185">
        <v>10</v>
      </c>
      <c r="N27" s="176">
        <f t="shared" si="5"/>
        <v>8080.3450000000012</v>
      </c>
      <c r="O27" s="185">
        <v>10</v>
      </c>
      <c r="P27" s="176">
        <f t="shared" si="6"/>
        <v>8080.3450000000012</v>
      </c>
      <c r="Q27" s="185">
        <v>10</v>
      </c>
      <c r="R27" s="176">
        <f t="shared" si="7"/>
        <v>8080.3450000000012</v>
      </c>
      <c r="S27" s="185">
        <v>10</v>
      </c>
      <c r="T27" s="176">
        <f t="shared" si="8"/>
        <v>8080.3450000000012</v>
      </c>
      <c r="U27" s="185">
        <v>10</v>
      </c>
      <c r="V27" s="176">
        <f t="shared" si="9"/>
        <v>8080.3450000000012</v>
      </c>
      <c r="W27" s="185">
        <v>8</v>
      </c>
      <c r="X27" s="176">
        <f t="shared" si="10"/>
        <v>6464.2760000000007</v>
      </c>
      <c r="Y27" s="185">
        <v>6</v>
      </c>
      <c r="Z27" s="176">
        <f t="shared" si="11"/>
        <v>4848.2070000000003</v>
      </c>
      <c r="AA27" s="178">
        <f>AB27/AB38*100</f>
        <v>3.2621896301405759</v>
      </c>
      <c r="AB27" s="186">
        <f>'Planilha Sintético Estimativa'!I209</f>
        <v>80803.450000000012</v>
      </c>
      <c r="AC27" s="1"/>
      <c r="AD27" s="180"/>
    </row>
    <row r="28" spans="1:30" x14ac:dyDescent="0.2">
      <c r="A28" s="173" t="s">
        <v>1182</v>
      </c>
      <c r="B28" s="183" t="s">
        <v>1048</v>
      </c>
      <c r="C28" s="184">
        <v>10</v>
      </c>
      <c r="D28" s="176">
        <f t="shared" si="0"/>
        <v>1120.3819999999998</v>
      </c>
      <c r="E28" s="185">
        <v>5</v>
      </c>
      <c r="F28" s="176">
        <f t="shared" si="1"/>
        <v>560.19099999999992</v>
      </c>
      <c r="G28" s="184">
        <v>5</v>
      </c>
      <c r="H28" s="176">
        <f t="shared" si="2"/>
        <v>560.19099999999992</v>
      </c>
      <c r="I28" s="184">
        <v>5</v>
      </c>
      <c r="J28" s="176">
        <f t="shared" si="3"/>
        <v>560.19099999999992</v>
      </c>
      <c r="K28" s="184">
        <v>8</v>
      </c>
      <c r="L28" s="176">
        <f t="shared" si="4"/>
        <v>896.3055999999998</v>
      </c>
      <c r="M28" s="185">
        <v>10</v>
      </c>
      <c r="N28" s="176">
        <f t="shared" si="5"/>
        <v>1120.3819999999998</v>
      </c>
      <c r="O28" s="185">
        <v>12</v>
      </c>
      <c r="P28" s="176">
        <f t="shared" si="6"/>
        <v>1344.4583999999998</v>
      </c>
      <c r="Q28" s="185">
        <v>20</v>
      </c>
      <c r="R28" s="176">
        <f t="shared" si="7"/>
        <v>2240.7639999999997</v>
      </c>
      <c r="S28" s="185">
        <v>10</v>
      </c>
      <c r="T28" s="176">
        <f t="shared" si="8"/>
        <v>1120.3819999999998</v>
      </c>
      <c r="U28" s="185">
        <v>5</v>
      </c>
      <c r="V28" s="176">
        <f t="shared" si="9"/>
        <v>560.19099999999992</v>
      </c>
      <c r="W28" s="185">
        <v>5</v>
      </c>
      <c r="X28" s="176">
        <f t="shared" si="10"/>
        <v>560.19099999999992</v>
      </c>
      <c r="Y28" s="185">
        <v>5</v>
      </c>
      <c r="Z28" s="176">
        <f t="shared" si="11"/>
        <v>560.19099999999992</v>
      </c>
      <c r="AA28" s="178">
        <f>AB28/AB38*100</f>
        <v>0.45231961533773091</v>
      </c>
      <c r="AB28" s="186">
        <f>'Planilha Sintético Estimativa'!I237</f>
        <v>11203.819999999998</v>
      </c>
      <c r="AC28" s="1"/>
      <c r="AD28" s="180"/>
    </row>
    <row r="29" spans="1:30" x14ac:dyDescent="0.2">
      <c r="A29" s="173" t="s">
        <v>1183</v>
      </c>
      <c r="B29" s="183" t="s">
        <v>480</v>
      </c>
      <c r="C29" s="184"/>
      <c r="D29" s="176">
        <f t="shared" si="0"/>
        <v>0</v>
      </c>
      <c r="E29" s="185"/>
      <c r="F29" s="176">
        <f t="shared" si="1"/>
        <v>0</v>
      </c>
      <c r="G29" s="184">
        <v>10</v>
      </c>
      <c r="H29" s="176">
        <f t="shared" si="2"/>
        <v>2792.4340000000002</v>
      </c>
      <c r="I29" s="184">
        <v>5</v>
      </c>
      <c r="J29" s="176">
        <f t="shared" si="3"/>
        <v>1396.2170000000001</v>
      </c>
      <c r="K29" s="184">
        <v>5</v>
      </c>
      <c r="L29" s="176">
        <f t="shared" si="4"/>
        <v>1396.2170000000001</v>
      </c>
      <c r="M29" s="185">
        <v>5</v>
      </c>
      <c r="N29" s="176">
        <f t="shared" si="5"/>
        <v>1396.2170000000001</v>
      </c>
      <c r="O29" s="185">
        <v>5</v>
      </c>
      <c r="P29" s="176">
        <f t="shared" si="6"/>
        <v>1396.2170000000001</v>
      </c>
      <c r="Q29" s="185">
        <v>5</v>
      </c>
      <c r="R29" s="176">
        <f t="shared" si="7"/>
        <v>1396.2170000000001</v>
      </c>
      <c r="S29" s="185">
        <v>5</v>
      </c>
      <c r="T29" s="176">
        <f t="shared" si="8"/>
        <v>1396.2170000000001</v>
      </c>
      <c r="U29" s="185">
        <v>15</v>
      </c>
      <c r="V29" s="176">
        <f t="shared" si="9"/>
        <v>4188.6509999999998</v>
      </c>
      <c r="W29" s="185">
        <v>20</v>
      </c>
      <c r="X29" s="176">
        <f t="shared" si="10"/>
        <v>5584.8680000000004</v>
      </c>
      <c r="Y29" s="185">
        <v>25</v>
      </c>
      <c r="Z29" s="176">
        <f t="shared" si="11"/>
        <v>6981.085</v>
      </c>
      <c r="AA29" s="178">
        <f>AB29/AB38*100</f>
        <v>1.1273589478731376</v>
      </c>
      <c r="AB29" s="186">
        <f>'Planilha Sintético Estimativa'!I258</f>
        <v>27924.34</v>
      </c>
      <c r="AC29" s="1"/>
      <c r="AD29" s="180"/>
    </row>
    <row r="30" spans="1:30" x14ac:dyDescent="0.2">
      <c r="A30" s="173" t="s">
        <v>1184</v>
      </c>
      <c r="B30" s="183" t="s">
        <v>1049</v>
      </c>
      <c r="C30" s="184">
        <v>15</v>
      </c>
      <c r="D30" s="176">
        <f t="shared" si="0"/>
        <v>44670.697500000002</v>
      </c>
      <c r="E30" s="185">
        <v>5</v>
      </c>
      <c r="F30" s="176">
        <f t="shared" si="1"/>
        <v>14890.2325</v>
      </c>
      <c r="G30" s="184">
        <v>5</v>
      </c>
      <c r="H30" s="176">
        <f t="shared" si="2"/>
        <v>14890.2325</v>
      </c>
      <c r="I30" s="184">
        <v>5</v>
      </c>
      <c r="J30" s="176">
        <f t="shared" si="3"/>
        <v>14890.2325</v>
      </c>
      <c r="K30" s="184">
        <v>10</v>
      </c>
      <c r="L30" s="176">
        <f t="shared" si="4"/>
        <v>29780.465</v>
      </c>
      <c r="M30" s="185">
        <v>10</v>
      </c>
      <c r="N30" s="176">
        <f t="shared" si="5"/>
        <v>29780.465</v>
      </c>
      <c r="O30" s="185">
        <v>10</v>
      </c>
      <c r="P30" s="176">
        <f t="shared" si="6"/>
        <v>29780.465</v>
      </c>
      <c r="Q30" s="185">
        <v>10</v>
      </c>
      <c r="R30" s="176">
        <f t="shared" si="7"/>
        <v>29780.465</v>
      </c>
      <c r="S30" s="185">
        <v>5</v>
      </c>
      <c r="T30" s="176">
        <f t="shared" si="8"/>
        <v>14890.2325</v>
      </c>
      <c r="U30" s="185">
        <v>5</v>
      </c>
      <c r="V30" s="176">
        <f t="shared" si="9"/>
        <v>14890.2325</v>
      </c>
      <c r="W30" s="185">
        <v>10</v>
      </c>
      <c r="X30" s="176">
        <f t="shared" si="10"/>
        <v>29780.465</v>
      </c>
      <c r="Y30" s="185">
        <v>10</v>
      </c>
      <c r="Z30" s="176">
        <f t="shared" si="11"/>
        <v>29780.465</v>
      </c>
      <c r="AA30" s="178">
        <f>AB30/AB38*100</f>
        <v>12.022942597595074</v>
      </c>
      <c r="AB30" s="186">
        <f>'Planilha Sintético Estimativa'!I290</f>
        <v>297804.65000000002</v>
      </c>
      <c r="AC30" s="1"/>
      <c r="AD30" s="180"/>
    </row>
    <row r="31" spans="1:30" x14ac:dyDescent="0.2">
      <c r="A31" s="173" t="s">
        <v>1185</v>
      </c>
      <c r="B31" s="183" t="s">
        <v>1053</v>
      </c>
      <c r="C31" s="184">
        <v>10</v>
      </c>
      <c r="D31" s="176">
        <f t="shared" si="0"/>
        <v>343.50600000000009</v>
      </c>
      <c r="E31" s="185">
        <v>15</v>
      </c>
      <c r="F31" s="176">
        <f t="shared" si="1"/>
        <v>515.25900000000013</v>
      </c>
      <c r="G31" s="184">
        <v>5</v>
      </c>
      <c r="H31" s="176">
        <f t="shared" si="2"/>
        <v>171.75300000000004</v>
      </c>
      <c r="I31" s="184">
        <v>5</v>
      </c>
      <c r="J31" s="176">
        <f t="shared" si="3"/>
        <v>171.75300000000004</v>
      </c>
      <c r="K31" s="184">
        <v>5</v>
      </c>
      <c r="L31" s="176">
        <f t="shared" si="4"/>
        <v>171.75300000000004</v>
      </c>
      <c r="M31" s="185">
        <v>15</v>
      </c>
      <c r="N31" s="176">
        <f t="shared" si="5"/>
        <v>515.25900000000013</v>
      </c>
      <c r="O31" s="185">
        <v>10</v>
      </c>
      <c r="P31" s="176">
        <f t="shared" si="6"/>
        <v>343.50600000000009</v>
      </c>
      <c r="Q31" s="185">
        <v>10</v>
      </c>
      <c r="R31" s="176">
        <f t="shared" si="7"/>
        <v>343.50600000000009</v>
      </c>
      <c r="S31" s="185">
        <v>10</v>
      </c>
      <c r="T31" s="176">
        <f t="shared" si="8"/>
        <v>343.50600000000009</v>
      </c>
      <c r="U31" s="185">
        <v>5</v>
      </c>
      <c r="V31" s="176">
        <f t="shared" si="9"/>
        <v>171.75300000000004</v>
      </c>
      <c r="W31" s="185">
        <v>10</v>
      </c>
      <c r="X31" s="176">
        <f t="shared" si="10"/>
        <v>343.50600000000009</v>
      </c>
      <c r="Y31" s="185"/>
      <c r="Z31" s="176">
        <f t="shared" si="11"/>
        <v>0</v>
      </c>
      <c r="AA31" s="178">
        <f>AB31/AB38*100</f>
        <v>0.13867993397448608</v>
      </c>
      <c r="AB31" s="186">
        <f>'Planilha Sintético Estimativa'!I338</f>
        <v>3435.0600000000004</v>
      </c>
      <c r="AC31" s="1"/>
      <c r="AD31" s="180"/>
    </row>
    <row r="32" spans="1:30" ht="24" x14ac:dyDescent="0.2">
      <c r="A32" s="173" t="s">
        <v>1186</v>
      </c>
      <c r="B32" s="183" t="s">
        <v>1054</v>
      </c>
      <c r="C32" s="184"/>
      <c r="D32" s="176">
        <f t="shared" si="0"/>
        <v>0</v>
      </c>
      <c r="E32" s="185"/>
      <c r="F32" s="176">
        <f t="shared" si="1"/>
        <v>0</v>
      </c>
      <c r="G32" s="184">
        <v>10</v>
      </c>
      <c r="H32" s="176">
        <f t="shared" si="2"/>
        <v>6076.380000000001</v>
      </c>
      <c r="I32" s="184">
        <v>10</v>
      </c>
      <c r="J32" s="176">
        <f t="shared" si="3"/>
        <v>6076.380000000001</v>
      </c>
      <c r="K32" s="184">
        <v>10</v>
      </c>
      <c r="L32" s="176">
        <f t="shared" si="4"/>
        <v>6076.380000000001</v>
      </c>
      <c r="M32" s="185">
        <v>10</v>
      </c>
      <c r="N32" s="176">
        <f t="shared" si="5"/>
        <v>6076.380000000001</v>
      </c>
      <c r="O32" s="185">
        <v>10</v>
      </c>
      <c r="P32" s="176">
        <f t="shared" si="6"/>
        <v>6076.380000000001</v>
      </c>
      <c r="Q32" s="185">
        <v>10</v>
      </c>
      <c r="R32" s="176">
        <f t="shared" si="7"/>
        <v>6076.380000000001</v>
      </c>
      <c r="S32" s="185">
        <v>10</v>
      </c>
      <c r="T32" s="176">
        <f t="shared" si="8"/>
        <v>6076.380000000001</v>
      </c>
      <c r="U32" s="185">
        <v>10</v>
      </c>
      <c r="V32" s="176">
        <f t="shared" si="9"/>
        <v>6076.380000000001</v>
      </c>
      <c r="W32" s="185">
        <v>10</v>
      </c>
      <c r="X32" s="176">
        <f t="shared" si="10"/>
        <v>6076.380000000001</v>
      </c>
      <c r="Y32" s="185">
        <v>10</v>
      </c>
      <c r="Z32" s="176">
        <f t="shared" si="11"/>
        <v>6076.380000000001</v>
      </c>
      <c r="AA32" s="178">
        <f>AB32/AB38*100</f>
        <v>2.4531506791843163</v>
      </c>
      <c r="AB32" s="186">
        <f>'Planilha Sintético Estimativa'!I342</f>
        <v>60763.80000000001</v>
      </c>
      <c r="AC32" s="1"/>
      <c r="AD32" s="180"/>
    </row>
    <row r="33" spans="1:30" ht="30.75" customHeight="1" x14ac:dyDescent="0.2">
      <c r="A33" s="173" t="s">
        <v>1187</v>
      </c>
      <c r="B33" s="183" t="s">
        <v>1055</v>
      </c>
      <c r="C33" s="184">
        <v>10</v>
      </c>
      <c r="D33" s="176">
        <f t="shared" si="0"/>
        <v>3071.23</v>
      </c>
      <c r="E33" s="185">
        <v>20</v>
      </c>
      <c r="F33" s="176">
        <f t="shared" si="1"/>
        <v>6142.46</v>
      </c>
      <c r="G33" s="184">
        <v>10</v>
      </c>
      <c r="H33" s="176">
        <f t="shared" si="2"/>
        <v>3071.23</v>
      </c>
      <c r="I33" s="184">
        <v>10</v>
      </c>
      <c r="J33" s="176">
        <f t="shared" si="3"/>
        <v>3071.23</v>
      </c>
      <c r="K33" s="184">
        <v>5</v>
      </c>
      <c r="L33" s="176">
        <f t="shared" si="4"/>
        <v>1535.615</v>
      </c>
      <c r="M33" s="185">
        <v>5</v>
      </c>
      <c r="N33" s="176">
        <f t="shared" si="5"/>
        <v>1535.615</v>
      </c>
      <c r="O33" s="185">
        <v>10</v>
      </c>
      <c r="P33" s="176">
        <f t="shared" si="6"/>
        <v>3071.23</v>
      </c>
      <c r="Q33" s="185">
        <v>10</v>
      </c>
      <c r="R33" s="176">
        <f t="shared" si="7"/>
        <v>3071.23</v>
      </c>
      <c r="S33" s="185">
        <v>10</v>
      </c>
      <c r="T33" s="176">
        <f t="shared" si="8"/>
        <v>3071.23</v>
      </c>
      <c r="U33" s="185">
        <v>10</v>
      </c>
      <c r="V33" s="176">
        <f t="shared" si="9"/>
        <v>3071.23</v>
      </c>
      <c r="W33" s="185"/>
      <c r="X33" s="176">
        <f t="shared" si="10"/>
        <v>0</v>
      </c>
      <c r="Y33" s="185"/>
      <c r="Z33" s="176">
        <f t="shared" si="11"/>
        <v>0</v>
      </c>
      <c r="AA33" s="178">
        <f>AB33/AB38*100</f>
        <v>1.2399142187340566</v>
      </c>
      <c r="AB33" s="186">
        <f>'Planilha Sintético Estimativa'!I358</f>
        <v>30712.3</v>
      </c>
      <c r="AC33" s="1"/>
      <c r="AD33" s="180"/>
    </row>
    <row r="34" spans="1:30" x14ac:dyDescent="0.2">
      <c r="A34" s="173" t="s">
        <v>1188</v>
      </c>
      <c r="B34" s="183" t="s">
        <v>1051</v>
      </c>
      <c r="C34" s="184"/>
      <c r="D34" s="176">
        <f t="shared" si="0"/>
        <v>0</v>
      </c>
      <c r="E34" s="185"/>
      <c r="F34" s="176">
        <f t="shared" si="1"/>
        <v>0</v>
      </c>
      <c r="G34" s="184"/>
      <c r="H34" s="176">
        <f t="shared" si="2"/>
        <v>0</v>
      </c>
      <c r="I34" s="184">
        <v>15</v>
      </c>
      <c r="J34" s="176">
        <f t="shared" si="3"/>
        <v>36927.252</v>
      </c>
      <c r="K34" s="184">
        <v>20</v>
      </c>
      <c r="L34" s="176">
        <f t="shared" si="4"/>
        <v>49236.335999999996</v>
      </c>
      <c r="M34" s="185">
        <v>10</v>
      </c>
      <c r="N34" s="176">
        <f t="shared" si="5"/>
        <v>24618.167999999998</v>
      </c>
      <c r="O34" s="185">
        <v>15</v>
      </c>
      <c r="P34" s="176">
        <f t="shared" si="6"/>
        <v>36927.252</v>
      </c>
      <c r="Q34" s="185">
        <v>10</v>
      </c>
      <c r="R34" s="176">
        <f t="shared" si="7"/>
        <v>24618.167999999998</v>
      </c>
      <c r="S34" s="185">
        <v>10</v>
      </c>
      <c r="T34" s="176">
        <f t="shared" si="8"/>
        <v>24618.167999999998</v>
      </c>
      <c r="U34" s="185">
        <v>20</v>
      </c>
      <c r="V34" s="176">
        <f t="shared" si="9"/>
        <v>49236.335999999996</v>
      </c>
      <c r="W34" s="185"/>
      <c r="X34" s="176">
        <f t="shared" si="10"/>
        <v>0</v>
      </c>
      <c r="Y34" s="185"/>
      <c r="Z34" s="176">
        <f t="shared" si="11"/>
        <v>0</v>
      </c>
      <c r="AA34" s="178">
        <f>AB34/AB38*100</f>
        <v>9.9388246866511967</v>
      </c>
      <c r="AB34" s="186">
        <f>'Planilha Sintético Estimativa'!I373</f>
        <v>246181.68</v>
      </c>
      <c r="AC34" s="1"/>
      <c r="AD34" s="180"/>
    </row>
    <row r="35" spans="1:30" x14ac:dyDescent="0.2">
      <c r="A35" s="173" t="s">
        <v>1189</v>
      </c>
      <c r="B35" s="183" t="s">
        <v>1050</v>
      </c>
      <c r="C35" s="184"/>
      <c r="D35" s="176">
        <f t="shared" si="0"/>
        <v>0</v>
      </c>
      <c r="E35" s="185">
        <v>10</v>
      </c>
      <c r="F35" s="176">
        <f t="shared" si="1"/>
        <v>7631.0119999999997</v>
      </c>
      <c r="G35" s="184">
        <v>10</v>
      </c>
      <c r="H35" s="176">
        <f t="shared" si="2"/>
        <v>7631.0119999999997</v>
      </c>
      <c r="I35" s="184">
        <v>10</v>
      </c>
      <c r="J35" s="176">
        <f t="shared" si="3"/>
        <v>7631.0119999999997</v>
      </c>
      <c r="K35" s="184">
        <v>10</v>
      </c>
      <c r="L35" s="176">
        <f t="shared" si="4"/>
        <v>7631.0119999999997</v>
      </c>
      <c r="M35" s="185">
        <v>10</v>
      </c>
      <c r="N35" s="176">
        <f t="shared" si="5"/>
        <v>7631.0119999999997</v>
      </c>
      <c r="O35" s="185"/>
      <c r="P35" s="176">
        <f t="shared" si="6"/>
        <v>0</v>
      </c>
      <c r="Q35" s="185">
        <v>10</v>
      </c>
      <c r="R35" s="176">
        <f t="shared" si="7"/>
        <v>7631.0119999999997</v>
      </c>
      <c r="S35" s="185">
        <v>10</v>
      </c>
      <c r="T35" s="176">
        <f t="shared" si="8"/>
        <v>7631.0119999999997</v>
      </c>
      <c r="U35" s="185">
        <v>10</v>
      </c>
      <c r="V35" s="176">
        <f t="shared" si="9"/>
        <v>7631.0119999999997</v>
      </c>
      <c r="W35" s="185">
        <v>10</v>
      </c>
      <c r="X35" s="176">
        <f t="shared" si="10"/>
        <v>7631.0119999999997</v>
      </c>
      <c r="Y35" s="185">
        <v>10</v>
      </c>
      <c r="Z35" s="176">
        <f t="shared" si="11"/>
        <v>7631.0119999999997</v>
      </c>
      <c r="AA35" s="178">
        <f>AB35/AB38*100</f>
        <v>3.0807853147208806</v>
      </c>
      <c r="AB35" s="186">
        <f>'Planilha Sintético Estimativa'!I380</f>
        <v>76310.12</v>
      </c>
      <c r="AC35" s="1"/>
      <c r="AD35" s="180"/>
    </row>
    <row r="36" spans="1:30" ht="24" x14ac:dyDescent="0.2">
      <c r="A36" s="173" t="s">
        <v>1190</v>
      </c>
      <c r="B36" s="183" t="s">
        <v>725</v>
      </c>
      <c r="C36" s="184"/>
      <c r="D36" s="176">
        <f t="shared" si="0"/>
        <v>0</v>
      </c>
      <c r="E36" s="185">
        <v>10</v>
      </c>
      <c r="F36" s="176">
        <f t="shared" si="1"/>
        <v>11111.286</v>
      </c>
      <c r="G36" s="184">
        <v>10</v>
      </c>
      <c r="H36" s="176">
        <f t="shared" si="2"/>
        <v>11111.286</v>
      </c>
      <c r="I36" s="184">
        <v>10</v>
      </c>
      <c r="J36" s="176">
        <f t="shared" si="3"/>
        <v>11111.286</v>
      </c>
      <c r="K36" s="184">
        <v>20</v>
      </c>
      <c r="L36" s="176">
        <f t="shared" si="4"/>
        <v>22222.572</v>
      </c>
      <c r="M36" s="185">
        <v>10</v>
      </c>
      <c r="N36" s="176">
        <f t="shared" si="5"/>
        <v>11111.286</v>
      </c>
      <c r="O36" s="185"/>
      <c r="P36" s="176">
        <f t="shared" si="6"/>
        <v>0</v>
      </c>
      <c r="Q36" s="185">
        <v>5</v>
      </c>
      <c r="R36" s="176">
        <f t="shared" si="7"/>
        <v>5555.643</v>
      </c>
      <c r="S36" s="185">
        <v>5</v>
      </c>
      <c r="T36" s="176">
        <f t="shared" si="8"/>
        <v>5555.643</v>
      </c>
      <c r="U36" s="185">
        <v>5</v>
      </c>
      <c r="V36" s="176">
        <f t="shared" si="9"/>
        <v>5555.643</v>
      </c>
      <c r="W36" s="185">
        <v>5</v>
      </c>
      <c r="X36" s="176">
        <f t="shared" si="10"/>
        <v>5555.643</v>
      </c>
      <c r="Y36" s="185">
        <v>20</v>
      </c>
      <c r="Z36" s="176">
        <f t="shared" si="11"/>
        <v>22222.572</v>
      </c>
      <c r="AA36" s="178">
        <f>AB36/AB38*100</f>
        <v>4.4858384099597428</v>
      </c>
      <c r="AB36" s="186">
        <f>'Planilha Sintético Estimativa'!I386</f>
        <v>111112.86</v>
      </c>
      <c r="AC36" s="1"/>
      <c r="AD36" s="180"/>
    </row>
    <row r="37" spans="1:30" x14ac:dyDescent="0.2">
      <c r="A37" s="173" t="s">
        <v>1191</v>
      </c>
      <c r="B37" s="183" t="s">
        <v>774</v>
      </c>
      <c r="C37" s="184">
        <v>15</v>
      </c>
      <c r="D37" s="176">
        <f t="shared" si="0"/>
        <v>20300.620500000001</v>
      </c>
      <c r="E37" s="185">
        <v>10</v>
      </c>
      <c r="F37" s="176">
        <f t="shared" si="1"/>
        <v>13533.746999999999</v>
      </c>
      <c r="G37" s="184">
        <v>10</v>
      </c>
      <c r="H37" s="176">
        <f t="shared" si="2"/>
        <v>13533.746999999999</v>
      </c>
      <c r="I37" s="184">
        <v>10</v>
      </c>
      <c r="J37" s="176">
        <f t="shared" si="3"/>
        <v>13533.746999999999</v>
      </c>
      <c r="K37" s="184">
        <v>5</v>
      </c>
      <c r="L37" s="176">
        <f t="shared" si="4"/>
        <v>6766.8734999999997</v>
      </c>
      <c r="M37" s="185">
        <v>5</v>
      </c>
      <c r="N37" s="176">
        <f t="shared" si="5"/>
        <v>6766.8734999999997</v>
      </c>
      <c r="O37" s="185">
        <v>10</v>
      </c>
      <c r="P37" s="176">
        <f t="shared" si="6"/>
        <v>13533.746999999999</v>
      </c>
      <c r="Q37" s="185">
        <v>10</v>
      </c>
      <c r="R37" s="176">
        <f t="shared" si="7"/>
        <v>13533.746999999999</v>
      </c>
      <c r="S37" s="185">
        <v>5</v>
      </c>
      <c r="T37" s="176">
        <f t="shared" si="8"/>
        <v>6766.8734999999997</v>
      </c>
      <c r="U37" s="185">
        <v>5</v>
      </c>
      <c r="V37" s="176">
        <f t="shared" si="9"/>
        <v>6766.8734999999997</v>
      </c>
      <c r="W37" s="185">
        <v>5</v>
      </c>
      <c r="X37" s="176">
        <f t="shared" si="10"/>
        <v>6766.8734999999997</v>
      </c>
      <c r="Y37" s="185">
        <v>10</v>
      </c>
      <c r="Z37" s="176">
        <f t="shared" si="11"/>
        <v>13533.746999999999</v>
      </c>
      <c r="AA37" s="178">
        <f>AB37/AB38*100</f>
        <v>5.4638321903762925</v>
      </c>
      <c r="AB37" s="186">
        <f>'Planilha Sintético Estimativa'!I401</f>
        <v>135337.47</v>
      </c>
      <c r="AC37" s="1"/>
      <c r="AD37" s="180"/>
    </row>
    <row r="38" spans="1:30" s="507" customFormat="1" ht="15.75" thickBot="1" x14ac:dyDescent="0.25">
      <c r="A38" s="502"/>
      <c r="B38" s="503" t="s">
        <v>1192</v>
      </c>
      <c r="C38" s="504">
        <f>D38/AB38</f>
        <v>3.8765792068174383E-2</v>
      </c>
      <c r="D38" s="505">
        <f>SUM(D11:D37)</f>
        <v>96021.693899999998</v>
      </c>
      <c r="E38" s="504">
        <f>F38/AB38</f>
        <v>5.6677989493727106E-2</v>
      </c>
      <c r="F38" s="505">
        <f>SUM(F11:F37)</f>
        <v>140389.6649</v>
      </c>
      <c r="G38" s="504">
        <f>H38/AB38</f>
        <v>8.1317384523236003E-2</v>
      </c>
      <c r="H38" s="505">
        <f>SUM(H11:H37)</f>
        <v>201420.70079999996</v>
      </c>
      <c r="I38" s="504">
        <f>J38/AB38</f>
        <v>9.6229725317516362E-2</v>
      </c>
      <c r="J38" s="505">
        <f>SUM(J11:J37)</f>
        <v>238358.11769999997</v>
      </c>
      <c r="K38" s="504">
        <f>L38/AB38</f>
        <v>0.10565507643222151</v>
      </c>
      <c r="L38" s="505">
        <f>SUM(L11:L37)</f>
        <v>261704.42719999992</v>
      </c>
      <c r="M38" s="504">
        <f>N38/AB38</f>
        <v>9.4580629878829245E-2</v>
      </c>
      <c r="N38" s="505">
        <f>SUM(N11:N37)</f>
        <v>234273.35819999996</v>
      </c>
      <c r="O38" s="504">
        <f>P38/AB38</f>
        <v>9.5489570696168438E-2</v>
      </c>
      <c r="P38" s="505">
        <f>SUM(P11:P37)</f>
        <v>236524.77710000001</v>
      </c>
      <c r="Q38" s="504">
        <f>R38/AB38</f>
        <v>9.3886714054084469E-2</v>
      </c>
      <c r="R38" s="505">
        <f>SUM(R11:R37)</f>
        <v>232554.5497</v>
      </c>
      <c r="S38" s="504">
        <f>T38/AB38</f>
        <v>8.7910066152039459E-2</v>
      </c>
      <c r="T38" s="505">
        <f>SUM(T11:T37)</f>
        <v>217750.57370000004</v>
      </c>
      <c r="U38" s="504">
        <f>V38/AB38</f>
        <v>9.6183093338879436E-2</v>
      </c>
      <c r="V38" s="505">
        <f>SUM(V11:V37)</f>
        <v>238242.61169999998</v>
      </c>
      <c r="W38" s="504">
        <f>X38/AB38</f>
        <v>7.7477923165908319E-2</v>
      </c>
      <c r="X38" s="505">
        <f>SUM(X11:X37)</f>
        <v>191910.47119999997</v>
      </c>
      <c r="Y38" s="504">
        <f>Z38/AB38</f>
        <v>7.5826034879214937E-2</v>
      </c>
      <c r="Z38" s="505">
        <f>SUM(Z11:Z37)</f>
        <v>187818.79390000002</v>
      </c>
      <c r="AA38" s="505">
        <f>SUM(AA11:AA37)</f>
        <v>99.999999999999986</v>
      </c>
      <c r="AB38" s="501">
        <f>SUM(AB11:AB37)</f>
        <v>2476969.7400000007</v>
      </c>
      <c r="AC38" s="506"/>
    </row>
    <row r="40" spans="1:30" x14ac:dyDescent="0.2">
      <c r="AB40" s="1"/>
    </row>
    <row r="41" spans="1:30" x14ac:dyDescent="0.2">
      <c r="AA41" s="187"/>
    </row>
    <row r="42" spans="1:30" x14ac:dyDescent="0.2">
      <c r="AB42" s="188"/>
    </row>
  </sheetData>
  <mergeCells count="23">
    <mergeCell ref="A7:AB7"/>
    <mergeCell ref="A8:AB8"/>
    <mergeCell ref="A9:A10"/>
    <mergeCell ref="B9:B10"/>
    <mergeCell ref="C9:D9"/>
    <mergeCell ref="E9:F9"/>
    <mergeCell ref="G9:H9"/>
    <mergeCell ref="I9:J9"/>
    <mergeCell ref="K9:L9"/>
    <mergeCell ref="A6:AB6"/>
    <mergeCell ref="A1:AB1"/>
    <mergeCell ref="A2:AB2"/>
    <mergeCell ref="A3:AB3"/>
    <mergeCell ref="A4:AB4"/>
    <mergeCell ref="A5:AB5"/>
    <mergeCell ref="M9:N9"/>
    <mergeCell ref="AB9:AB10"/>
    <mergeCell ref="O9:P9"/>
    <mergeCell ref="Q9:R9"/>
    <mergeCell ref="S9:T9"/>
    <mergeCell ref="U9:V9"/>
    <mergeCell ref="W9:X9"/>
    <mergeCell ref="Y9:Z9"/>
  </mergeCells>
  <printOptions horizontalCentered="1"/>
  <pageMargins left="0.15748031496062992" right="0.15748031496062992" top="0.39370078740157483" bottom="0.39370078740157483" header="0.31496062992125984" footer="0.31496062992125984"/>
  <pageSetup paperSize="9" scale="54" orientation="landscape" verticalDpi="0" r:id="rId1"/>
  <headerFooter>
    <oddFooter>&amp;R&amp;P  de &amp;N Páginas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9"/>
  <sheetViews>
    <sheetView workbookViewId="0">
      <selection activeCell="K107" sqref="K107"/>
    </sheetView>
  </sheetViews>
  <sheetFormatPr defaultColWidth="9" defaultRowHeight="14.25" x14ac:dyDescent="0.2"/>
  <cols>
    <col min="1" max="1" width="7.375" style="3" customWidth="1"/>
    <col min="2" max="2" width="14.875" style="2" customWidth="1"/>
    <col min="3" max="3" width="63.125" customWidth="1"/>
    <col min="4" max="4" width="5.875" style="18" bestFit="1" customWidth="1"/>
    <col min="5" max="5" width="8" style="121" bestFit="1" customWidth="1"/>
    <col min="6" max="6" width="9.875" style="18" bestFit="1" customWidth="1"/>
    <col min="7" max="7" width="8.875" style="18" bestFit="1" customWidth="1"/>
    <col min="8" max="8" width="9.875" style="18" bestFit="1" customWidth="1"/>
    <col min="9" max="9" width="10.25" style="18" bestFit="1" customWidth="1"/>
    <col min="10" max="10" width="14.875" hidden="1" customWidth="1"/>
    <col min="12" max="12" width="12.625" bestFit="1" customWidth="1"/>
  </cols>
  <sheetData>
    <row r="1" spans="1:12" ht="15" x14ac:dyDescent="0.25">
      <c r="C1" s="364" t="s">
        <v>767</v>
      </c>
      <c r="D1" s="364"/>
      <c r="E1" s="364"/>
      <c r="F1" s="364"/>
      <c r="G1" s="364"/>
      <c r="H1" s="364"/>
      <c r="I1" s="364"/>
    </row>
    <row r="2" spans="1:12" ht="15" x14ac:dyDescent="0.25">
      <c r="C2" s="364" t="s">
        <v>768</v>
      </c>
      <c r="D2" s="364"/>
      <c r="E2" s="364"/>
      <c r="F2" s="364"/>
      <c r="G2" s="364"/>
      <c r="H2" s="364"/>
      <c r="I2" s="364"/>
    </row>
    <row r="3" spans="1:12" ht="15.75" x14ac:dyDescent="0.2">
      <c r="A3" s="378" t="s">
        <v>769</v>
      </c>
      <c r="B3" s="378"/>
      <c r="C3" s="378"/>
      <c r="D3" s="378"/>
      <c r="E3" s="378"/>
      <c r="F3" s="378"/>
      <c r="G3" s="378"/>
      <c r="H3" s="378"/>
      <c r="I3" s="378"/>
      <c r="J3" s="71"/>
    </row>
    <row r="4" spans="1:12" ht="15" x14ac:dyDescent="0.2">
      <c r="A4" s="379" t="s">
        <v>1028</v>
      </c>
      <c r="B4" s="379"/>
      <c r="C4" s="379"/>
      <c r="D4" s="379"/>
      <c r="E4" s="379"/>
      <c r="F4" s="379"/>
      <c r="G4" s="379"/>
      <c r="H4" s="379"/>
      <c r="I4" s="379"/>
      <c r="J4" s="72"/>
    </row>
    <row r="5" spans="1:12" x14ac:dyDescent="0.2">
      <c r="A5" s="365" t="s">
        <v>1063</v>
      </c>
      <c r="B5" s="365"/>
      <c r="C5" s="365"/>
      <c r="D5" s="365"/>
      <c r="E5" s="365"/>
      <c r="F5" s="365"/>
      <c r="G5" s="365"/>
      <c r="H5" s="365"/>
      <c r="I5" s="365"/>
      <c r="J5" s="73"/>
    </row>
    <row r="6" spans="1:12" ht="15" thickBot="1" x14ac:dyDescent="0.25">
      <c r="A6" s="365" t="s">
        <v>817</v>
      </c>
      <c r="B6" s="365"/>
      <c r="C6" s="365"/>
      <c r="D6" s="365"/>
      <c r="E6" s="365"/>
      <c r="F6" s="365"/>
      <c r="G6" s="365"/>
      <c r="H6" s="365"/>
      <c r="I6" s="365"/>
      <c r="J6" s="73"/>
    </row>
    <row r="7" spans="1:12" ht="15" thickBot="1" x14ac:dyDescent="0.25">
      <c r="A7" s="403" t="s">
        <v>1062</v>
      </c>
      <c r="B7" s="404"/>
      <c r="C7" s="404"/>
      <c r="D7" s="404"/>
      <c r="E7" s="404"/>
      <c r="F7" s="404"/>
      <c r="G7" s="405"/>
      <c r="H7" s="406"/>
      <c r="I7" s="407"/>
      <c r="J7" s="73"/>
    </row>
    <row r="8" spans="1:12" x14ac:dyDescent="0.2">
      <c r="A8" s="408" t="s">
        <v>1194</v>
      </c>
      <c r="B8" s="409"/>
      <c r="C8" s="409"/>
      <c r="D8" s="409"/>
      <c r="E8" s="409"/>
      <c r="F8" s="409"/>
      <c r="G8" s="412" t="s">
        <v>1076</v>
      </c>
      <c r="H8" s="413"/>
      <c r="I8" s="122">
        <v>0.25030000000000002</v>
      </c>
      <c r="J8" s="73"/>
    </row>
    <row r="9" spans="1:12" ht="21.75" customHeight="1" x14ac:dyDescent="0.2">
      <c r="A9" s="410"/>
      <c r="B9" s="411"/>
      <c r="C9" s="411"/>
      <c r="D9" s="411"/>
      <c r="E9" s="411"/>
      <c r="F9" s="411"/>
      <c r="G9" s="414" t="s">
        <v>1090</v>
      </c>
      <c r="H9" s="415"/>
      <c r="I9" s="123" t="s">
        <v>1195</v>
      </c>
      <c r="J9" s="73"/>
    </row>
    <row r="10" spans="1:12" ht="15" thickBot="1" x14ac:dyDescent="0.25">
      <c r="A10" s="410"/>
      <c r="B10" s="411"/>
      <c r="C10" s="411"/>
      <c r="D10" s="411"/>
      <c r="E10" s="411"/>
      <c r="F10" s="411"/>
      <c r="G10" s="416" t="s">
        <v>1196</v>
      </c>
      <c r="H10" s="417"/>
      <c r="I10" s="418"/>
      <c r="J10" s="74"/>
    </row>
    <row r="11" spans="1:12" ht="25.5" x14ac:dyDescent="0.2">
      <c r="A11" s="57" t="s">
        <v>1025</v>
      </c>
      <c r="B11" s="58" t="s">
        <v>1029</v>
      </c>
      <c r="C11" s="58" t="s">
        <v>1030</v>
      </c>
      <c r="D11" s="146" t="s">
        <v>1026</v>
      </c>
      <c r="E11" s="162" t="s">
        <v>1027</v>
      </c>
      <c r="F11" s="146" t="s">
        <v>1119</v>
      </c>
      <c r="G11" s="58" t="s">
        <v>1075</v>
      </c>
      <c r="H11" s="146" t="s">
        <v>1120</v>
      </c>
      <c r="I11" s="147" t="s">
        <v>1121</v>
      </c>
    </row>
    <row r="12" spans="1:12" x14ac:dyDescent="0.2">
      <c r="A12" s="59" t="s">
        <v>0</v>
      </c>
      <c r="B12" s="60"/>
      <c r="C12" s="61" t="s">
        <v>1</v>
      </c>
      <c r="D12" s="61"/>
      <c r="E12" s="62"/>
      <c r="F12" s="143">
        <f>'Planilha Sintético Estimativa'!F12</f>
        <v>466.38</v>
      </c>
      <c r="G12" s="143">
        <f>'Planilha Sintético Estimativa'!G12</f>
        <v>4779.4399999999996</v>
      </c>
      <c r="H12" s="145">
        <f>'Planilha Sintético Estimativa'!H12</f>
        <v>583.08000000000004</v>
      </c>
      <c r="I12" s="129">
        <f>SUM(I13:I19)</f>
        <v>10581.43</v>
      </c>
      <c r="J12" s="75">
        <f>SUM(J13:J19)</f>
        <v>8463.1400000000012</v>
      </c>
      <c r="K12" s="189">
        <f t="shared" ref="K12:K75" si="0">I12/$I$431</f>
        <v>2.1873335012749682E-3</v>
      </c>
      <c r="L12" s="1"/>
    </row>
    <row r="13" spans="1:12" hidden="1" x14ac:dyDescent="0.2">
      <c r="A13" s="63" t="s">
        <v>2</v>
      </c>
      <c r="B13" s="124" t="s">
        <v>818</v>
      </c>
      <c r="C13" s="64" t="s">
        <v>3</v>
      </c>
      <c r="D13" s="125" t="s">
        <v>4</v>
      </c>
      <c r="E13" s="65">
        <f>206.45+102.4+57.04</f>
        <v>365.89000000000004</v>
      </c>
      <c r="F13" s="65">
        <v>1.34</v>
      </c>
      <c r="G13" s="65">
        <f>TRUNC(E13*F13,2)</f>
        <v>490.29</v>
      </c>
      <c r="H13" s="126">
        <f>TRUNC(F13*(1+I$8),2)</f>
        <v>1.67</v>
      </c>
      <c r="I13" s="126">
        <f>TRUNC(G13*(1+I$8),2)</f>
        <v>613</v>
      </c>
      <c r="J13" s="70">
        <f>TRUNC(E13 * F13, 2)</f>
        <v>490.29</v>
      </c>
      <c r="K13" s="189">
        <f t="shared" si="0"/>
        <v>1.2671590099651517E-4</v>
      </c>
    </row>
    <row r="14" spans="1:12" ht="25.5" hidden="1" x14ac:dyDescent="0.2">
      <c r="A14" s="63" t="s">
        <v>1091</v>
      </c>
      <c r="B14" s="124" t="s">
        <v>819</v>
      </c>
      <c r="C14" s="64" t="s">
        <v>5</v>
      </c>
      <c r="D14" s="125" t="s">
        <v>168</v>
      </c>
      <c r="E14" s="65">
        <f>12+6+4</f>
        <v>22</v>
      </c>
      <c r="F14" s="65">
        <v>53.92</v>
      </c>
      <c r="G14" s="65">
        <f t="shared" ref="G14:G45" si="1">TRUNC(E14*F14,2)</f>
        <v>1186.24</v>
      </c>
      <c r="H14" s="126">
        <f t="shared" ref="H14:H77" si="2">TRUNC(F14*(1+I$8),2)</f>
        <v>67.41</v>
      </c>
      <c r="I14" s="126">
        <f t="shared" ref="I14:I45" si="3">TRUNC(G14*(1+I$8),2)</f>
        <v>1483.15</v>
      </c>
      <c r="J14" s="70">
        <f t="shared" ref="J14:J19" si="4">TRUNC(E14 * F14, 2)</f>
        <v>1186.24</v>
      </c>
      <c r="K14" s="189">
        <f t="shared" si="0"/>
        <v>3.065883989608181E-4</v>
      </c>
    </row>
    <row r="15" spans="1:12" ht="25.5" hidden="1" x14ac:dyDescent="0.2">
      <c r="A15" s="63" t="s">
        <v>1092</v>
      </c>
      <c r="B15" s="124" t="s">
        <v>820</v>
      </c>
      <c r="C15" s="64" t="s">
        <v>6</v>
      </c>
      <c r="D15" s="125" t="s">
        <v>168</v>
      </c>
      <c r="E15" s="65">
        <f>6+3+2</f>
        <v>11</v>
      </c>
      <c r="F15" s="65">
        <v>96.06</v>
      </c>
      <c r="G15" s="65">
        <f t="shared" si="1"/>
        <v>1056.6600000000001</v>
      </c>
      <c r="H15" s="126">
        <f t="shared" si="2"/>
        <v>120.1</v>
      </c>
      <c r="I15" s="126">
        <f t="shared" si="3"/>
        <v>1321.14</v>
      </c>
      <c r="J15" s="70">
        <f t="shared" si="4"/>
        <v>1056.6600000000001</v>
      </c>
      <c r="K15" s="189">
        <f t="shared" si="0"/>
        <v>2.7309860594214693E-4</v>
      </c>
    </row>
    <row r="16" spans="1:12" ht="25.5" hidden="1" x14ac:dyDescent="0.2">
      <c r="A16" s="63" t="s">
        <v>1093</v>
      </c>
      <c r="B16" s="124" t="s">
        <v>821</v>
      </c>
      <c r="C16" s="64" t="s">
        <v>7</v>
      </c>
      <c r="D16" s="125" t="s">
        <v>168</v>
      </c>
      <c r="E16" s="65">
        <f>3+2+1</f>
        <v>6</v>
      </c>
      <c r="F16" s="65">
        <v>242.82</v>
      </c>
      <c r="G16" s="65">
        <f t="shared" si="1"/>
        <v>1456.92</v>
      </c>
      <c r="H16" s="126">
        <f t="shared" si="2"/>
        <v>303.58999999999997</v>
      </c>
      <c r="I16" s="126">
        <f t="shared" si="3"/>
        <v>1821.58</v>
      </c>
      <c r="J16" s="70">
        <f t="shared" si="4"/>
        <v>1456.92</v>
      </c>
      <c r="K16" s="189">
        <f t="shared" si="0"/>
        <v>3.7654673888618613E-4</v>
      </c>
    </row>
    <row r="17" spans="1:12" x14ac:dyDescent="0.2">
      <c r="A17" s="63" t="s">
        <v>1094</v>
      </c>
      <c r="B17" s="124" t="s">
        <v>822</v>
      </c>
      <c r="C17" s="64" t="s">
        <v>8</v>
      </c>
      <c r="D17" s="125" t="s">
        <v>9</v>
      </c>
      <c r="E17" s="65">
        <f>138.3+68.6+40</f>
        <v>246.9</v>
      </c>
      <c r="F17" s="65">
        <v>4.47</v>
      </c>
      <c r="G17" s="65">
        <f t="shared" si="1"/>
        <v>1103.6400000000001</v>
      </c>
      <c r="H17" s="126">
        <f t="shared" si="2"/>
        <v>5.58</v>
      </c>
      <c r="I17" s="126">
        <f t="shared" si="3"/>
        <v>1379.88</v>
      </c>
      <c r="J17" s="70">
        <f t="shared" si="4"/>
        <v>1103.6400000000001</v>
      </c>
      <c r="K17" s="189">
        <f t="shared" si="0"/>
        <v>2.8524100728722897E-4</v>
      </c>
    </row>
    <row r="18" spans="1:12" ht="25.5" x14ac:dyDescent="0.2">
      <c r="A18" s="63" t="s">
        <v>1095</v>
      </c>
      <c r="B18" s="124" t="s">
        <v>823</v>
      </c>
      <c r="C18" s="64" t="s">
        <v>1077</v>
      </c>
      <c r="D18" s="125" t="s">
        <v>1052</v>
      </c>
      <c r="E18" s="65">
        <f>73.4+36.4+40</f>
        <v>149.80000000000001</v>
      </c>
      <c r="F18" s="65">
        <v>2.62</v>
      </c>
      <c r="G18" s="65">
        <f t="shared" si="1"/>
        <v>392.47</v>
      </c>
      <c r="H18" s="126">
        <f t="shared" si="2"/>
        <v>3.27</v>
      </c>
      <c r="I18" s="126">
        <f t="shared" si="3"/>
        <v>490.7</v>
      </c>
      <c r="J18" s="70">
        <f t="shared" si="4"/>
        <v>392.47</v>
      </c>
      <c r="K18" s="189">
        <f t="shared" si="0"/>
        <v>1.0143473510438824E-4</v>
      </c>
    </row>
    <row r="19" spans="1:12" ht="25.5" x14ac:dyDescent="0.2">
      <c r="A19" s="63" t="s">
        <v>1096</v>
      </c>
      <c r="B19" s="124" t="s">
        <v>824</v>
      </c>
      <c r="C19" s="64" t="s">
        <v>10</v>
      </c>
      <c r="D19" s="125" t="s">
        <v>9</v>
      </c>
      <c r="E19" s="65">
        <f>16.95+8.4+14</f>
        <v>39.35</v>
      </c>
      <c r="F19" s="65">
        <v>70.569999999999993</v>
      </c>
      <c r="G19" s="65">
        <f t="shared" si="1"/>
        <v>2776.92</v>
      </c>
      <c r="H19" s="126">
        <f t="shared" si="2"/>
        <v>88.23</v>
      </c>
      <c r="I19" s="126">
        <f t="shared" si="3"/>
        <v>3471.98</v>
      </c>
      <c r="J19" s="70">
        <f t="shared" si="4"/>
        <v>2776.92</v>
      </c>
      <c r="K19" s="189">
        <f t="shared" si="0"/>
        <v>7.177081140976847E-4</v>
      </c>
    </row>
    <row r="20" spans="1:12" x14ac:dyDescent="0.2">
      <c r="A20" s="127" t="s">
        <v>11</v>
      </c>
      <c r="B20" s="128"/>
      <c r="C20" s="66" t="s">
        <v>12</v>
      </c>
      <c r="D20" s="66"/>
      <c r="E20" s="141"/>
      <c r="F20" s="143">
        <f>SUM(F21:F45)</f>
        <v>386.3499999999998</v>
      </c>
      <c r="G20" s="143">
        <f>SUM(G21:G45)</f>
        <v>108478.16</v>
      </c>
      <c r="H20" s="129">
        <f>SUM(H21:H45)</f>
        <v>482.92</v>
      </c>
      <c r="I20" s="129">
        <f>SUM(I21:I45)</f>
        <v>135630.11000000002</v>
      </c>
      <c r="J20" s="75">
        <f>SUM(J21:J45)</f>
        <v>108478.16</v>
      </c>
      <c r="K20" s="189">
        <f t="shared" si="0"/>
        <v>2.8036691012897984E-2</v>
      </c>
      <c r="L20" s="1"/>
    </row>
    <row r="21" spans="1:12" hidden="1" x14ac:dyDescent="0.2">
      <c r="A21" s="63" t="s">
        <v>13</v>
      </c>
      <c r="B21" s="124" t="s">
        <v>14</v>
      </c>
      <c r="C21" s="64" t="s">
        <v>15</v>
      </c>
      <c r="D21" s="125" t="s">
        <v>9</v>
      </c>
      <c r="E21" s="65">
        <f>45.15+22.4+13</f>
        <v>80.55</v>
      </c>
      <c r="F21" s="65">
        <v>115.66</v>
      </c>
      <c r="G21" s="65">
        <f t="shared" si="1"/>
        <v>9316.41</v>
      </c>
      <c r="H21" s="126">
        <f t="shared" si="2"/>
        <v>144.6</v>
      </c>
      <c r="I21" s="126">
        <f t="shared" si="3"/>
        <v>11648.3</v>
      </c>
      <c r="J21" s="70">
        <f>TRUNC(E21 * F21, 2)</f>
        <v>9316.41</v>
      </c>
      <c r="K21" s="189">
        <f t="shared" si="0"/>
        <v>2.4078708475982181E-3</v>
      </c>
    </row>
    <row r="22" spans="1:12" ht="25.5" hidden="1" x14ac:dyDescent="0.2">
      <c r="A22" s="63" t="s">
        <v>16</v>
      </c>
      <c r="B22" s="124" t="s">
        <v>825</v>
      </c>
      <c r="C22" s="64" t="s">
        <v>17</v>
      </c>
      <c r="D22" s="125" t="s">
        <v>9</v>
      </c>
      <c r="E22" s="65">
        <f>22.6+11.2+7</f>
        <v>40.799999999999997</v>
      </c>
      <c r="F22" s="65">
        <v>45.48</v>
      </c>
      <c r="G22" s="65">
        <f t="shared" si="1"/>
        <v>1855.58</v>
      </c>
      <c r="H22" s="126">
        <f t="shared" si="2"/>
        <v>56.86</v>
      </c>
      <c r="I22" s="126">
        <f t="shared" si="3"/>
        <v>2320.0300000000002</v>
      </c>
      <c r="J22" s="70">
        <f t="shared" ref="J22:J45" si="5">TRUNC(E22 * F22, 2)</f>
        <v>1855.58</v>
      </c>
      <c r="K22" s="189">
        <f t="shared" si="0"/>
        <v>4.7958351025929056E-4</v>
      </c>
    </row>
    <row r="23" spans="1:12" ht="25.5" hidden="1" x14ac:dyDescent="0.2">
      <c r="A23" s="63" t="s">
        <v>18</v>
      </c>
      <c r="B23" s="124" t="s">
        <v>826</v>
      </c>
      <c r="C23" s="64" t="s">
        <v>1078</v>
      </c>
      <c r="D23" s="125" t="s">
        <v>9</v>
      </c>
      <c r="E23" s="65">
        <f>22.6+11.2+7</f>
        <v>40.799999999999997</v>
      </c>
      <c r="F23" s="65">
        <v>47.27</v>
      </c>
      <c r="G23" s="65">
        <f t="shared" si="1"/>
        <v>1928.61</v>
      </c>
      <c r="H23" s="126">
        <f t="shared" si="2"/>
        <v>59.1</v>
      </c>
      <c r="I23" s="126">
        <f t="shared" si="3"/>
        <v>2411.34</v>
      </c>
      <c r="J23" s="70">
        <f t="shared" si="5"/>
        <v>1928.61</v>
      </c>
      <c r="K23" s="189">
        <f t="shared" si="0"/>
        <v>4.9845859822012547E-4</v>
      </c>
    </row>
    <row r="24" spans="1:12" ht="25.5" hidden="1" x14ac:dyDescent="0.2">
      <c r="A24" s="63" t="s">
        <v>19</v>
      </c>
      <c r="B24" s="124" t="s">
        <v>20</v>
      </c>
      <c r="C24" s="64" t="s">
        <v>21</v>
      </c>
      <c r="D24" s="125" t="s">
        <v>4</v>
      </c>
      <c r="E24" s="65">
        <f>141.1+69.95+40</f>
        <v>251.05</v>
      </c>
      <c r="F24" s="65">
        <v>9.25</v>
      </c>
      <c r="G24" s="65">
        <f t="shared" si="1"/>
        <v>2322.21</v>
      </c>
      <c r="H24" s="126">
        <f t="shared" si="2"/>
        <v>11.56</v>
      </c>
      <c r="I24" s="126">
        <f t="shared" si="3"/>
        <v>2903.45</v>
      </c>
      <c r="J24" s="70">
        <f t="shared" si="5"/>
        <v>2322.21</v>
      </c>
      <c r="K24" s="189">
        <f t="shared" si="0"/>
        <v>6.0018480056824139E-4</v>
      </c>
    </row>
    <row r="25" spans="1:12" hidden="1" x14ac:dyDescent="0.2">
      <c r="A25" s="63" t="s">
        <v>22</v>
      </c>
      <c r="B25" s="124" t="s">
        <v>827</v>
      </c>
      <c r="C25" s="64" t="s">
        <v>23</v>
      </c>
      <c r="D25" s="125" t="s">
        <v>4</v>
      </c>
      <c r="E25" s="65">
        <f>112.9+55.95+35</f>
        <v>203.85000000000002</v>
      </c>
      <c r="F25" s="65">
        <v>2.67</v>
      </c>
      <c r="G25" s="65">
        <f t="shared" si="1"/>
        <v>544.27</v>
      </c>
      <c r="H25" s="126">
        <f t="shared" si="2"/>
        <v>3.33</v>
      </c>
      <c r="I25" s="126">
        <f t="shared" si="3"/>
        <v>680.5</v>
      </c>
      <c r="J25" s="70">
        <f t="shared" si="5"/>
        <v>544.27</v>
      </c>
      <c r="K25" s="189">
        <f t="shared" si="0"/>
        <v>1.406691201111396E-4</v>
      </c>
    </row>
    <row r="26" spans="1:12" ht="25.5" hidden="1" x14ac:dyDescent="0.2">
      <c r="A26" s="63" t="s">
        <v>24</v>
      </c>
      <c r="B26" s="124" t="s">
        <v>828</v>
      </c>
      <c r="C26" s="64" t="s">
        <v>1079</v>
      </c>
      <c r="D26" s="125" t="s">
        <v>4</v>
      </c>
      <c r="E26" s="65">
        <f>84.65+41.95+25</f>
        <v>151.60000000000002</v>
      </c>
      <c r="F26" s="65">
        <v>9.91</v>
      </c>
      <c r="G26" s="65">
        <f t="shared" si="1"/>
        <v>1502.35</v>
      </c>
      <c r="H26" s="126">
        <f t="shared" si="2"/>
        <v>12.39</v>
      </c>
      <c r="I26" s="126">
        <f t="shared" si="3"/>
        <v>1878.38</v>
      </c>
      <c r="J26" s="70">
        <f t="shared" si="5"/>
        <v>1502.35</v>
      </c>
      <c r="K26" s="189">
        <f t="shared" si="0"/>
        <v>3.8828811437819608E-4</v>
      </c>
    </row>
    <row r="27" spans="1:12" ht="25.5" hidden="1" x14ac:dyDescent="0.2">
      <c r="A27" s="63" t="s">
        <v>25</v>
      </c>
      <c r="B27" s="124" t="s">
        <v>829</v>
      </c>
      <c r="C27" s="64" t="s">
        <v>26</v>
      </c>
      <c r="D27" s="125" t="s">
        <v>4</v>
      </c>
      <c r="E27" s="65">
        <f>169.3+83.95+50</f>
        <v>303.25</v>
      </c>
      <c r="F27" s="65">
        <v>13.01</v>
      </c>
      <c r="G27" s="65">
        <f t="shared" si="1"/>
        <v>3945.28</v>
      </c>
      <c r="H27" s="126">
        <f t="shared" si="2"/>
        <v>16.260000000000002</v>
      </c>
      <c r="I27" s="126">
        <f t="shared" si="3"/>
        <v>4932.78</v>
      </c>
      <c r="J27" s="70">
        <f t="shared" si="5"/>
        <v>3945.28</v>
      </c>
      <c r="K27" s="189">
        <f t="shared" si="0"/>
        <v>1.0196764471738827E-3</v>
      </c>
    </row>
    <row r="28" spans="1:12" hidden="1" x14ac:dyDescent="0.2">
      <c r="A28" s="63" t="s">
        <v>27</v>
      </c>
      <c r="B28" s="124" t="s">
        <v>28</v>
      </c>
      <c r="C28" s="64" t="s">
        <v>29</v>
      </c>
      <c r="D28" s="125" t="s">
        <v>30</v>
      </c>
      <c r="E28" s="65">
        <f>1410.75+1349.5+780</f>
        <v>3540.25</v>
      </c>
      <c r="F28" s="65">
        <v>0.96</v>
      </c>
      <c r="G28" s="65">
        <f t="shared" si="1"/>
        <v>3398.64</v>
      </c>
      <c r="H28" s="126">
        <f t="shared" si="2"/>
        <v>1.2</v>
      </c>
      <c r="I28" s="126">
        <f t="shared" si="3"/>
        <v>4249.3100000000004</v>
      </c>
      <c r="J28" s="70">
        <f t="shared" si="5"/>
        <v>3398.64</v>
      </c>
      <c r="K28" s="189">
        <f t="shared" si="0"/>
        <v>8.7839338542169975E-4</v>
      </c>
    </row>
    <row r="29" spans="1:12" ht="25.5" hidden="1" x14ac:dyDescent="0.2">
      <c r="A29" s="63" t="s">
        <v>31</v>
      </c>
      <c r="B29" s="124" t="s">
        <v>830</v>
      </c>
      <c r="C29" s="64" t="s">
        <v>1080</v>
      </c>
      <c r="D29" s="125" t="s">
        <v>4</v>
      </c>
      <c r="E29" s="65">
        <f>1692.9+839.4+470</f>
        <v>3002.3</v>
      </c>
      <c r="F29" s="65">
        <v>2.76</v>
      </c>
      <c r="G29" s="65">
        <f t="shared" si="1"/>
        <v>8286.34</v>
      </c>
      <c r="H29" s="126">
        <f t="shared" si="2"/>
        <v>3.45</v>
      </c>
      <c r="I29" s="126">
        <f t="shared" si="3"/>
        <v>10360.41</v>
      </c>
      <c r="J29" s="70">
        <f t="shared" si="5"/>
        <v>8286.34</v>
      </c>
      <c r="K29" s="189">
        <f t="shared" si="0"/>
        <v>2.1416454940347564E-3</v>
      </c>
    </row>
    <row r="30" spans="1:12" ht="25.5" hidden="1" x14ac:dyDescent="0.2">
      <c r="A30" s="63" t="s">
        <v>32</v>
      </c>
      <c r="B30" s="124" t="s">
        <v>831</v>
      </c>
      <c r="C30" s="64" t="s">
        <v>1081</v>
      </c>
      <c r="D30" s="125" t="s">
        <v>4</v>
      </c>
      <c r="E30" s="65">
        <f>846.45+419.7+235</f>
        <v>1501.15</v>
      </c>
      <c r="F30" s="65">
        <v>5.95</v>
      </c>
      <c r="G30" s="65">
        <f t="shared" si="1"/>
        <v>8931.84</v>
      </c>
      <c r="H30" s="126">
        <f t="shared" si="2"/>
        <v>7.43</v>
      </c>
      <c r="I30" s="126">
        <f t="shared" si="3"/>
        <v>11167.47</v>
      </c>
      <c r="J30" s="70">
        <f t="shared" si="5"/>
        <v>8931.84</v>
      </c>
      <c r="K30" s="189">
        <f t="shared" si="0"/>
        <v>2.3084763831999235E-3</v>
      </c>
    </row>
    <row r="31" spans="1:12" hidden="1" x14ac:dyDescent="0.2">
      <c r="A31" s="63" t="s">
        <v>33</v>
      </c>
      <c r="B31" s="124" t="s">
        <v>34</v>
      </c>
      <c r="C31" s="64" t="s">
        <v>35</v>
      </c>
      <c r="D31" s="125" t="s">
        <v>4</v>
      </c>
      <c r="E31" s="65">
        <f>282.15+139.9+80</f>
        <v>502.04999999999995</v>
      </c>
      <c r="F31" s="65">
        <v>14.18</v>
      </c>
      <c r="G31" s="65">
        <f t="shared" si="1"/>
        <v>7119.06</v>
      </c>
      <c r="H31" s="126">
        <f t="shared" si="2"/>
        <v>17.72</v>
      </c>
      <c r="I31" s="126">
        <f t="shared" si="3"/>
        <v>8900.9599999999991</v>
      </c>
      <c r="J31" s="70">
        <f t="shared" si="5"/>
        <v>7119.06</v>
      </c>
      <c r="K31" s="189">
        <f t="shared" si="0"/>
        <v>1.8399562253408508E-3</v>
      </c>
    </row>
    <row r="32" spans="1:12" hidden="1" x14ac:dyDescent="0.2">
      <c r="A32" s="63" t="s">
        <v>36</v>
      </c>
      <c r="B32" s="124" t="s">
        <v>832</v>
      </c>
      <c r="C32" s="64" t="s">
        <v>37</v>
      </c>
      <c r="D32" s="125" t="s">
        <v>4</v>
      </c>
      <c r="E32" s="65">
        <f>169.3+83.95+47.25</f>
        <v>300.5</v>
      </c>
      <c r="F32" s="65">
        <v>7.45</v>
      </c>
      <c r="G32" s="65">
        <f t="shared" si="1"/>
        <v>2238.7199999999998</v>
      </c>
      <c r="H32" s="126">
        <f t="shared" si="2"/>
        <v>9.31</v>
      </c>
      <c r="I32" s="126">
        <f t="shared" si="3"/>
        <v>2799.07</v>
      </c>
      <c r="J32" s="70">
        <f t="shared" si="5"/>
        <v>2238.7199999999998</v>
      </c>
      <c r="K32" s="189">
        <f t="shared" si="0"/>
        <v>5.7860795595810074E-4</v>
      </c>
    </row>
    <row r="33" spans="1:11" ht="25.5" hidden="1" x14ac:dyDescent="0.2">
      <c r="A33" s="63" t="s">
        <v>38</v>
      </c>
      <c r="B33" s="124" t="s">
        <v>39</v>
      </c>
      <c r="C33" s="64" t="s">
        <v>40</v>
      </c>
      <c r="D33" s="125" t="s">
        <v>4</v>
      </c>
      <c r="E33" s="65">
        <f>39.5+19.6+11</f>
        <v>70.099999999999994</v>
      </c>
      <c r="F33" s="65">
        <v>19.940000000000001</v>
      </c>
      <c r="G33" s="65">
        <f t="shared" si="1"/>
        <v>1397.79</v>
      </c>
      <c r="H33" s="126">
        <f t="shared" si="2"/>
        <v>24.93</v>
      </c>
      <c r="I33" s="126">
        <f t="shared" si="3"/>
        <v>1747.65</v>
      </c>
      <c r="J33" s="70">
        <f t="shared" si="5"/>
        <v>1397.79</v>
      </c>
      <c r="K33" s="189">
        <f t="shared" si="0"/>
        <v>3.6126434645442047E-4</v>
      </c>
    </row>
    <row r="34" spans="1:11" hidden="1" x14ac:dyDescent="0.2">
      <c r="A34" s="63" t="s">
        <v>41</v>
      </c>
      <c r="B34" s="124" t="s">
        <v>42</v>
      </c>
      <c r="C34" s="64" t="s">
        <v>43</v>
      </c>
      <c r="D34" s="125" t="s">
        <v>4</v>
      </c>
      <c r="E34" s="65">
        <f>56.5+28+16</f>
        <v>100.5</v>
      </c>
      <c r="F34" s="65">
        <v>7.59</v>
      </c>
      <c r="G34" s="65">
        <f t="shared" si="1"/>
        <v>762.79</v>
      </c>
      <c r="H34" s="126">
        <f t="shared" si="2"/>
        <v>9.48</v>
      </c>
      <c r="I34" s="126">
        <f t="shared" si="3"/>
        <v>953.71</v>
      </c>
      <c r="J34" s="70">
        <f t="shared" si="5"/>
        <v>762.79</v>
      </c>
      <c r="K34" s="189">
        <f t="shared" si="0"/>
        <v>1.9714554965642167E-4</v>
      </c>
    </row>
    <row r="35" spans="1:11" ht="25.5" hidden="1" x14ac:dyDescent="0.2">
      <c r="A35" s="63" t="s">
        <v>44</v>
      </c>
      <c r="B35" s="124" t="s">
        <v>833</v>
      </c>
      <c r="C35" s="64" t="s">
        <v>1082</v>
      </c>
      <c r="D35" s="125" t="s">
        <v>168</v>
      </c>
      <c r="E35" s="65">
        <f>452+224+125</f>
        <v>801</v>
      </c>
      <c r="F35" s="65">
        <v>0.55000000000000004</v>
      </c>
      <c r="G35" s="65">
        <f t="shared" si="1"/>
        <v>440.55</v>
      </c>
      <c r="H35" s="126">
        <f t="shared" si="2"/>
        <v>0.68</v>
      </c>
      <c r="I35" s="126">
        <f t="shared" si="3"/>
        <v>550.80999999999995</v>
      </c>
      <c r="J35" s="70">
        <f t="shared" si="5"/>
        <v>440.55</v>
      </c>
      <c r="K35" s="189">
        <f t="shared" si="0"/>
        <v>1.1386033511890785E-4</v>
      </c>
    </row>
    <row r="36" spans="1:11" hidden="1" x14ac:dyDescent="0.2">
      <c r="A36" s="63" t="s">
        <v>45</v>
      </c>
      <c r="B36" s="124" t="s">
        <v>834</v>
      </c>
      <c r="C36" s="64" t="s">
        <v>46</v>
      </c>
      <c r="D36" s="125" t="s">
        <v>168</v>
      </c>
      <c r="E36" s="65">
        <f>452+224+125</f>
        <v>801</v>
      </c>
      <c r="F36" s="65">
        <v>1.06</v>
      </c>
      <c r="G36" s="65">
        <f t="shared" si="1"/>
        <v>849.06</v>
      </c>
      <c r="H36" s="126">
        <f t="shared" si="2"/>
        <v>1.32</v>
      </c>
      <c r="I36" s="126">
        <f t="shared" si="3"/>
        <v>1061.57</v>
      </c>
      <c r="J36" s="70">
        <f t="shared" si="5"/>
        <v>849.06</v>
      </c>
      <c r="K36" s="189">
        <f t="shared" si="0"/>
        <v>2.1944176022980523E-4</v>
      </c>
    </row>
    <row r="37" spans="1:11" ht="25.5" hidden="1" x14ac:dyDescent="0.2">
      <c r="A37" s="63" t="s">
        <v>47</v>
      </c>
      <c r="B37" s="124" t="s">
        <v>835</v>
      </c>
      <c r="C37" s="64" t="s">
        <v>1083</v>
      </c>
      <c r="D37" s="125" t="s">
        <v>267</v>
      </c>
      <c r="E37" s="65">
        <f>142.2+70.5+40</f>
        <v>252.7</v>
      </c>
      <c r="F37" s="65">
        <v>0.39</v>
      </c>
      <c r="G37" s="65">
        <f t="shared" si="1"/>
        <v>98.55</v>
      </c>
      <c r="H37" s="126">
        <f t="shared" si="2"/>
        <v>0.48</v>
      </c>
      <c r="I37" s="126">
        <f t="shared" si="3"/>
        <v>123.21</v>
      </c>
      <c r="J37" s="70">
        <f t="shared" si="5"/>
        <v>98.55</v>
      </c>
      <c r="K37" s="189">
        <f t="shared" si="0"/>
        <v>2.5469275957227789E-5</v>
      </c>
    </row>
    <row r="38" spans="1:11" hidden="1" x14ac:dyDescent="0.2">
      <c r="A38" s="63" t="s">
        <v>48</v>
      </c>
      <c r="B38" s="124" t="s">
        <v>836</v>
      </c>
      <c r="C38" s="64" t="s">
        <v>49</v>
      </c>
      <c r="D38" s="125" t="s">
        <v>168</v>
      </c>
      <c r="E38" s="65">
        <f>57+28+16</f>
        <v>101</v>
      </c>
      <c r="F38" s="65">
        <v>9.81</v>
      </c>
      <c r="G38" s="65">
        <f t="shared" si="1"/>
        <v>990.81</v>
      </c>
      <c r="H38" s="126">
        <f t="shared" si="2"/>
        <v>12.26</v>
      </c>
      <c r="I38" s="126">
        <f t="shared" si="3"/>
        <v>1238.8</v>
      </c>
      <c r="J38" s="70">
        <f t="shared" si="5"/>
        <v>990.81</v>
      </c>
      <c r="K38" s="189">
        <f t="shared" si="0"/>
        <v>2.5607774576587761E-4</v>
      </c>
    </row>
    <row r="39" spans="1:11" hidden="1" x14ac:dyDescent="0.2">
      <c r="A39" s="63" t="s">
        <v>50</v>
      </c>
      <c r="B39" s="124" t="s">
        <v>837</v>
      </c>
      <c r="C39" s="64" t="s">
        <v>51</v>
      </c>
      <c r="D39" s="125" t="s">
        <v>168</v>
      </c>
      <c r="E39" s="65">
        <f>29+14+8</f>
        <v>51</v>
      </c>
      <c r="F39" s="65">
        <v>1.21</v>
      </c>
      <c r="G39" s="65">
        <f t="shared" si="1"/>
        <v>61.71</v>
      </c>
      <c r="H39" s="126">
        <f t="shared" si="2"/>
        <v>1.51</v>
      </c>
      <c r="I39" s="126">
        <f t="shared" si="3"/>
        <v>77.150000000000006</v>
      </c>
      <c r="J39" s="70">
        <f t="shared" si="5"/>
        <v>61.71</v>
      </c>
      <c r="K39" s="189">
        <f t="shared" si="0"/>
        <v>1.5948012662122589E-5</v>
      </c>
    </row>
    <row r="40" spans="1:11" ht="25.5" hidden="1" x14ac:dyDescent="0.2">
      <c r="A40" s="63" t="s">
        <v>52</v>
      </c>
      <c r="B40" s="124" t="s">
        <v>838</v>
      </c>
      <c r="C40" s="64" t="s">
        <v>53</v>
      </c>
      <c r="D40" s="125" t="s">
        <v>168</v>
      </c>
      <c r="E40" s="65">
        <f>142+70+40</f>
        <v>252</v>
      </c>
      <c r="F40" s="65">
        <v>7.15</v>
      </c>
      <c r="G40" s="65">
        <f t="shared" si="1"/>
        <v>1801.8</v>
      </c>
      <c r="H40" s="126">
        <f t="shared" si="2"/>
        <v>8.93</v>
      </c>
      <c r="I40" s="126">
        <f t="shared" si="3"/>
        <v>2252.79</v>
      </c>
      <c r="J40" s="70">
        <f t="shared" si="5"/>
        <v>1801.8</v>
      </c>
      <c r="K40" s="189">
        <f t="shared" si="0"/>
        <v>4.6568403687755207E-4</v>
      </c>
    </row>
    <row r="41" spans="1:11" ht="25.5" hidden="1" x14ac:dyDescent="0.2">
      <c r="A41" s="63" t="s">
        <v>54</v>
      </c>
      <c r="B41" s="124" t="s">
        <v>839</v>
      </c>
      <c r="C41" s="64" t="s">
        <v>1084</v>
      </c>
      <c r="D41" s="125" t="s">
        <v>4</v>
      </c>
      <c r="E41" s="65">
        <f>282.15+139.9+80</f>
        <v>502.04999999999995</v>
      </c>
      <c r="F41" s="65">
        <v>1.34</v>
      </c>
      <c r="G41" s="65">
        <f t="shared" si="1"/>
        <v>672.74</v>
      </c>
      <c r="H41" s="126">
        <f t="shared" si="2"/>
        <v>1.67</v>
      </c>
      <c r="I41" s="126">
        <f t="shared" si="3"/>
        <v>841.12</v>
      </c>
      <c r="J41" s="70">
        <f t="shared" si="5"/>
        <v>672.74</v>
      </c>
      <c r="K41" s="189">
        <f t="shared" si="0"/>
        <v>1.7387158017322812E-4</v>
      </c>
    </row>
    <row r="42" spans="1:11" hidden="1" x14ac:dyDescent="0.2">
      <c r="A42" s="63" t="s">
        <v>55</v>
      </c>
      <c r="B42" s="124" t="s">
        <v>56</v>
      </c>
      <c r="C42" s="64" t="s">
        <v>57</v>
      </c>
      <c r="D42" s="125" t="s">
        <v>4</v>
      </c>
      <c r="E42" s="65">
        <f>112.9+55.95+35</f>
        <v>203.85000000000002</v>
      </c>
      <c r="F42" s="65">
        <v>9</v>
      </c>
      <c r="G42" s="65">
        <f t="shared" si="1"/>
        <v>1834.65</v>
      </c>
      <c r="H42" s="126">
        <f t="shared" si="2"/>
        <v>11.25</v>
      </c>
      <c r="I42" s="126">
        <f t="shared" si="3"/>
        <v>2293.86</v>
      </c>
      <c r="J42" s="70">
        <f t="shared" si="5"/>
        <v>1834.65</v>
      </c>
      <c r="K42" s="189">
        <f t="shared" si="0"/>
        <v>4.7417379552996134E-4</v>
      </c>
    </row>
    <row r="43" spans="1:11" hidden="1" x14ac:dyDescent="0.2">
      <c r="A43" s="63" t="s">
        <v>58</v>
      </c>
      <c r="B43" s="124" t="s">
        <v>840</v>
      </c>
      <c r="C43" s="64" t="s">
        <v>59</v>
      </c>
      <c r="D43" s="125" t="s">
        <v>4</v>
      </c>
      <c r="E43" s="65">
        <f>28.2+14+10</f>
        <v>52.2</v>
      </c>
      <c r="F43" s="65">
        <v>4.0199999999999996</v>
      </c>
      <c r="G43" s="65">
        <f t="shared" si="1"/>
        <v>209.84</v>
      </c>
      <c r="H43" s="126">
        <f t="shared" si="2"/>
        <v>5.0199999999999996</v>
      </c>
      <c r="I43" s="126">
        <f t="shared" si="3"/>
        <v>262.36</v>
      </c>
      <c r="J43" s="70">
        <f t="shared" si="5"/>
        <v>209.84</v>
      </c>
      <c r="K43" s="189">
        <f t="shared" si="0"/>
        <v>5.4233578769079484E-5</v>
      </c>
    </row>
    <row r="44" spans="1:11" hidden="1" x14ac:dyDescent="0.2">
      <c r="A44" s="63" t="s">
        <v>60</v>
      </c>
      <c r="B44" s="124" t="s">
        <v>61</v>
      </c>
      <c r="C44" s="64" t="s">
        <v>62</v>
      </c>
      <c r="D44" s="125" t="s">
        <v>4</v>
      </c>
      <c r="E44" s="65">
        <f>338.6+167.9+100</f>
        <v>606.5</v>
      </c>
      <c r="F44" s="65">
        <v>40.340000000000003</v>
      </c>
      <c r="G44" s="65">
        <f t="shared" si="1"/>
        <v>24466.21</v>
      </c>
      <c r="H44" s="126">
        <f t="shared" si="2"/>
        <v>50.43</v>
      </c>
      <c r="I44" s="126">
        <f t="shared" si="3"/>
        <v>30590.1</v>
      </c>
      <c r="J44" s="70">
        <f t="shared" si="5"/>
        <v>24466.21</v>
      </c>
      <c r="K44" s="189">
        <f t="shared" si="0"/>
        <v>6.3234128598262619E-3</v>
      </c>
    </row>
    <row r="45" spans="1:11" hidden="1" x14ac:dyDescent="0.2">
      <c r="A45" s="63" t="s">
        <v>63</v>
      </c>
      <c r="B45" s="124" t="s">
        <v>64</v>
      </c>
      <c r="C45" s="64" t="s">
        <v>65</v>
      </c>
      <c r="D45" s="125" t="s">
        <v>4</v>
      </c>
      <c r="E45" s="65">
        <f>1410.75+699.5+390</f>
        <v>2500.25</v>
      </c>
      <c r="F45" s="65">
        <v>9.4</v>
      </c>
      <c r="G45" s="65">
        <f t="shared" si="1"/>
        <v>23502.35</v>
      </c>
      <c r="H45" s="126">
        <f t="shared" si="2"/>
        <v>11.75</v>
      </c>
      <c r="I45" s="126">
        <f t="shared" si="3"/>
        <v>29384.98</v>
      </c>
      <c r="J45" s="70">
        <f t="shared" si="5"/>
        <v>23502.35</v>
      </c>
      <c r="K45" s="189">
        <f t="shared" si="0"/>
        <v>6.0742972536126892E-3</v>
      </c>
    </row>
    <row r="46" spans="1:11" x14ac:dyDescent="0.2">
      <c r="A46" s="127" t="s">
        <v>66</v>
      </c>
      <c r="B46" s="128"/>
      <c r="C46" s="66" t="s">
        <v>67</v>
      </c>
      <c r="D46" s="66"/>
      <c r="E46" s="141"/>
      <c r="F46" s="143">
        <f>F47</f>
        <v>546.32000000000005</v>
      </c>
      <c r="G46" s="143">
        <f>G47</f>
        <v>9669.8499999999985</v>
      </c>
      <c r="H46" s="129">
        <f>H47</f>
        <v>683.05</v>
      </c>
      <c r="I46" s="129">
        <f>I47</f>
        <v>12090.2</v>
      </c>
      <c r="J46" s="75">
        <f>J47</f>
        <v>9669.8499999999985</v>
      </c>
      <c r="K46" s="189">
        <f t="shared" si="0"/>
        <v>2.4992179220686261E-3</v>
      </c>
    </row>
    <row r="47" spans="1:11" x14ac:dyDescent="0.2">
      <c r="A47" s="127" t="s">
        <v>68</v>
      </c>
      <c r="B47" s="128"/>
      <c r="C47" s="66" t="s">
        <v>69</v>
      </c>
      <c r="D47" s="66"/>
      <c r="E47" s="141"/>
      <c r="F47" s="143">
        <f>F48+F49</f>
        <v>546.32000000000005</v>
      </c>
      <c r="G47" s="143">
        <f>G48+G49</f>
        <v>9669.8499999999985</v>
      </c>
      <c r="H47" s="129">
        <f>H48+H49</f>
        <v>683.05</v>
      </c>
      <c r="I47" s="129">
        <f>SUM(I48:I49)</f>
        <v>12090.2</v>
      </c>
      <c r="J47" s="75">
        <f>SUM(J48:J49)</f>
        <v>9669.8499999999985</v>
      </c>
      <c r="K47" s="189">
        <f t="shared" si="0"/>
        <v>2.4992179220686261E-3</v>
      </c>
    </row>
    <row r="48" spans="1:11" ht="25.5" hidden="1" x14ac:dyDescent="0.2">
      <c r="A48" s="63" t="s">
        <v>1070</v>
      </c>
      <c r="B48" s="124" t="s">
        <v>841</v>
      </c>
      <c r="C48" s="64" t="s">
        <v>70</v>
      </c>
      <c r="D48" s="125" t="s">
        <v>9</v>
      </c>
      <c r="E48" s="65">
        <f>8.5+4.2+5</f>
        <v>17.7</v>
      </c>
      <c r="F48" s="65">
        <v>430.55</v>
      </c>
      <c r="G48" s="65">
        <f t="shared" ref="G48:G49" si="6">TRUNC(E48*F48,2)</f>
        <v>7620.73</v>
      </c>
      <c r="H48" s="126">
        <f t="shared" si="2"/>
        <v>538.30999999999995</v>
      </c>
      <c r="I48" s="126">
        <f t="shared" ref="I48:I49" si="7">TRUNC(G48*(1+I$8),2)</f>
        <v>9528.19</v>
      </c>
      <c r="J48" s="70">
        <f>TRUNC(E48 * F48, 2)</f>
        <v>7620.73</v>
      </c>
      <c r="K48" s="189">
        <f t="shared" si="0"/>
        <v>1.9696136716410863E-3</v>
      </c>
    </row>
    <row r="49" spans="1:11" hidden="1" x14ac:dyDescent="0.2">
      <c r="A49" s="63" t="s">
        <v>1071</v>
      </c>
      <c r="B49" s="124" t="s">
        <v>842</v>
      </c>
      <c r="C49" s="64" t="s">
        <v>71</v>
      </c>
      <c r="D49" s="125" t="s">
        <v>9</v>
      </c>
      <c r="E49" s="65">
        <f>8.5+4.2+5</f>
        <v>17.7</v>
      </c>
      <c r="F49" s="65">
        <v>115.77</v>
      </c>
      <c r="G49" s="65">
        <f t="shared" si="6"/>
        <v>2049.12</v>
      </c>
      <c r="H49" s="126">
        <f t="shared" si="2"/>
        <v>144.74</v>
      </c>
      <c r="I49" s="126">
        <f t="shared" si="7"/>
        <v>2562.0100000000002</v>
      </c>
      <c r="J49" s="70">
        <f>TRUNC(E49 * F49, 2)</f>
        <v>2049.12</v>
      </c>
      <c r="K49" s="189">
        <f t="shared" si="0"/>
        <v>5.2960425042753974E-4</v>
      </c>
    </row>
    <row r="50" spans="1:11" x14ac:dyDescent="0.2">
      <c r="A50" s="127" t="s">
        <v>72</v>
      </c>
      <c r="B50" s="128"/>
      <c r="C50" s="66" t="s">
        <v>73</v>
      </c>
      <c r="D50" s="66"/>
      <c r="E50" s="141"/>
      <c r="F50" s="143">
        <f>F51+F63+F74+F85</f>
        <v>3122.26</v>
      </c>
      <c r="G50" s="143">
        <f>G51+G63+G74+G85</f>
        <v>117968.71</v>
      </c>
      <c r="H50" s="129">
        <f>H51+H63+H74+H85</f>
        <v>3903.6</v>
      </c>
      <c r="I50" s="129">
        <f>I51+I63+I74+I85</f>
        <v>147099.90000000002</v>
      </c>
      <c r="J50" s="75">
        <f>J51+J63+J74+J85</f>
        <v>112519.64000000001</v>
      </c>
      <c r="K50" s="189">
        <f t="shared" si="0"/>
        <v>3.0407661280582848E-2</v>
      </c>
    </row>
    <row r="51" spans="1:11" x14ac:dyDescent="0.2">
      <c r="A51" s="127" t="s">
        <v>74</v>
      </c>
      <c r="B51" s="128"/>
      <c r="C51" s="66" t="s">
        <v>1057</v>
      </c>
      <c r="D51" s="66"/>
      <c r="E51" s="141"/>
      <c r="F51" s="143">
        <f>SUM(F52:F62)</f>
        <v>814.93</v>
      </c>
      <c r="G51" s="143">
        <f>SUM(G52:G62)</f>
        <v>55835.970000000008</v>
      </c>
      <c r="H51" s="129">
        <f>SUM(H52:H62)</f>
        <v>1018.8499999999999</v>
      </c>
      <c r="I51" s="129">
        <f>SUM(I52:I62)</f>
        <v>69811.66</v>
      </c>
      <c r="J51" s="75">
        <f>SUM(J52:J62)</f>
        <v>52770.100000000006</v>
      </c>
      <c r="K51" s="189">
        <f t="shared" si="0"/>
        <v>1.4431072425713506E-2</v>
      </c>
    </row>
    <row r="52" spans="1:11" ht="38.25" hidden="1" x14ac:dyDescent="0.2">
      <c r="A52" s="63" t="s">
        <v>75</v>
      </c>
      <c r="B52" s="124" t="s">
        <v>843</v>
      </c>
      <c r="C52" s="64" t="s">
        <v>76</v>
      </c>
      <c r="D52" s="125" t="s">
        <v>4</v>
      </c>
      <c r="E52" s="65">
        <f>11.3+5.6+20</f>
        <v>36.9</v>
      </c>
      <c r="F52" s="65">
        <v>62.14</v>
      </c>
      <c r="G52" s="65">
        <f t="shared" ref="G52:G87" si="8">TRUNC(E52*F52,2)</f>
        <v>2292.96</v>
      </c>
      <c r="H52" s="126">
        <f t="shared" si="2"/>
        <v>77.69</v>
      </c>
      <c r="I52" s="126">
        <f t="shared" ref="I52:I87" si="9">TRUNC(G52*(1+I$8),2)</f>
        <v>2866.88</v>
      </c>
      <c r="J52" s="70">
        <f t="shared" ref="J52:J62" si="10">TRUNC(E52 * F52, 2)</f>
        <v>2292.96</v>
      </c>
      <c r="K52" s="189">
        <f t="shared" si="0"/>
        <v>5.9262525652347374E-4</v>
      </c>
    </row>
    <row r="53" spans="1:11" ht="25.5" hidden="1" x14ac:dyDescent="0.2">
      <c r="A53" s="63" t="s">
        <v>1108</v>
      </c>
      <c r="B53" s="124" t="s">
        <v>844</v>
      </c>
      <c r="C53" s="64" t="s">
        <v>1085</v>
      </c>
      <c r="D53" s="125" t="s">
        <v>30</v>
      </c>
      <c r="E53" s="65">
        <f>310.4+153.9</f>
        <v>464.29999999999995</v>
      </c>
      <c r="F53" s="65">
        <v>13.65</v>
      </c>
      <c r="G53" s="65">
        <f t="shared" si="8"/>
        <v>6337.69</v>
      </c>
      <c r="H53" s="126">
        <f t="shared" si="2"/>
        <v>17.059999999999999</v>
      </c>
      <c r="I53" s="126">
        <f t="shared" si="9"/>
        <v>7924.01</v>
      </c>
      <c r="J53" s="70">
        <f t="shared" si="10"/>
        <v>6337.69</v>
      </c>
      <c r="K53" s="189">
        <f t="shared" si="0"/>
        <v>1.6380066340218535E-3</v>
      </c>
    </row>
    <row r="54" spans="1:11" ht="38.25" hidden="1" x14ac:dyDescent="0.2">
      <c r="A54" s="63" t="s">
        <v>1109</v>
      </c>
      <c r="B54" s="124" t="s">
        <v>845</v>
      </c>
      <c r="C54" s="64" t="s">
        <v>78</v>
      </c>
      <c r="D54" s="125" t="s">
        <v>30</v>
      </c>
      <c r="E54" s="65">
        <f>338.6+167.9</f>
        <v>506.5</v>
      </c>
      <c r="F54" s="65">
        <v>13.1</v>
      </c>
      <c r="G54" s="65">
        <f t="shared" si="8"/>
        <v>6635.15</v>
      </c>
      <c r="H54" s="126">
        <f t="shared" si="2"/>
        <v>16.37</v>
      </c>
      <c r="I54" s="126">
        <f t="shared" si="9"/>
        <v>8295.92</v>
      </c>
      <c r="J54" s="70">
        <f t="shared" si="10"/>
        <v>6635.15</v>
      </c>
      <c r="K54" s="189">
        <f t="shared" si="0"/>
        <v>1.7148857706280752E-3</v>
      </c>
    </row>
    <row r="55" spans="1:11" ht="25.5" hidden="1" x14ac:dyDescent="0.2">
      <c r="A55" s="63" t="s">
        <v>1110</v>
      </c>
      <c r="B55" s="124" t="s">
        <v>846</v>
      </c>
      <c r="C55" s="64" t="s">
        <v>79</v>
      </c>
      <c r="D55" s="125" t="s">
        <v>30</v>
      </c>
      <c r="E55" s="65">
        <f>451.5+223.85+225</f>
        <v>900.35</v>
      </c>
      <c r="F55" s="65">
        <v>10</v>
      </c>
      <c r="G55" s="65">
        <f t="shared" si="8"/>
        <v>9003.5</v>
      </c>
      <c r="H55" s="126">
        <f t="shared" si="2"/>
        <v>12.5</v>
      </c>
      <c r="I55" s="126">
        <f t="shared" si="9"/>
        <v>11257.07</v>
      </c>
      <c r="J55" s="70">
        <f t="shared" si="10"/>
        <v>9003.5</v>
      </c>
      <c r="K55" s="189">
        <f t="shared" si="0"/>
        <v>2.3269979896098549E-3</v>
      </c>
    </row>
    <row r="56" spans="1:11" ht="25.5" hidden="1" x14ac:dyDescent="0.2">
      <c r="A56" s="63" t="s">
        <v>1111</v>
      </c>
      <c r="B56" s="124" t="s">
        <v>847</v>
      </c>
      <c r="C56" s="64" t="s">
        <v>80</v>
      </c>
      <c r="D56" s="125" t="s">
        <v>9</v>
      </c>
      <c r="E56" s="65">
        <f>22.6+7+11.2</f>
        <v>40.799999999999997</v>
      </c>
      <c r="F56" s="65">
        <v>460.86</v>
      </c>
      <c r="G56" s="65">
        <f t="shared" si="8"/>
        <v>18803.080000000002</v>
      </c>
      <c r="H56" s="126">
        <f t="shared" si="2"/>
        <v>576.21</v>
      </c>
      <c r="I56" s="126">
        <f t="shared" si="9"/>
        <v>23509.49</v>
      </c>
      <c r="J56" s="70">
        <f t="shared" si="10"/>
        <v>18803.080000000002</v>
      </c>
      <c r="K56" s="189">
        <f t="shared" si="0"/>
        <v>4.8597491147121755E-3</v>
      </c>
    </row>
    <row r="57" spans="1:11" hidden="1" x14ac:dyDescent="0.2">
      <c r="A57" s="63" t="s">
        <v>1197</v>
      </c>
      <c r="B57" s="124" t="s">
        <v>1198</v>
      </c>
      <c r="C57" s="64" t="s">
        <v>1199</v>
      </c>
      <c r="D57" s="125" t="s">
        <v>4</v>
      </c>
      <c r="E57" s="65">
        <v>30</v>
      </c>
      <c r="F57" s="65">
        <v>9.1199999999999992</v>
      </c>
      <c r="G57" s="65">
        <f t="shared" si="8"/>
        <v>273.60000000000002</v>
      </c>
      <c r="H57" s="126">
        <f t="shared" si="2"/>
        <v>11.4</v>
      </c>
      <c r="I57" s="126">
        <f t="shared" si="9"/>
        <v>342.08</v>
      </c>
      <c r="J57" s="70">
        <f t="shared" si="10"/>
        <v>273.60000000000002</v>
      </c>
      <c r="K57" s="189">
        <f t="shared" si="0"/>
        <v>7.0712847329344056E-5</v>
      </c>
    </row>
    <row r="58" spans="1:11" ht="28.5" hidden="1" customHeight="1" x14ac:dyDescent="0.2">
      <c r="A58" s="63" t="s">
        <v>1200</v>
      </c>
      <c r="B58" s="124" t="s">
        <v>895</v>
      </c>
      <c r="C58" s="64" t="s">
        <v>1201</v>
      </c>
      <c r="D58" s="125" t="s">
        <v>4</v>
      </c>
      <c r="E58" s="65">
        <v>30</v>
      </c>
      <c r="F58" s="65">
        <v>21.56</v>
      </c>
      <c r="G58" s="65">
        <f t="shared" si="8"/>
        <v>646.79999999999995</v>
      </c>
      <c r="H58" s="126">
        <f t="shared" si="2"/>
        <v>26.95</v>
      </c>
      <c r="I58" s="126">
        <f t="shared" si="9"/>
        <v>808.69</v>
      </c>
      <c r="J58" s="70">
        <f t="shared" si="10"/>
        <v>646.79999999999995</v>
      </c>
      <c r="K58" s="189">
        <f t="shared" si="0"/>
        <v>1.671678335674908E-4</v>
      </c>
    </row>
    <row r="59" spans="1:11" ht="25.5" hidden="1" x14ac:dyDescent="0.2">
      <c r="A59" s="63" t="s">
        <v>1202</v>
      </c>
      <c r="B59" s="130" t="s">
        <v>1203</v>
      </c>
      <c r="C59" s="64" t="s">
        <v>1204</v>
      </c>
      <c r="D59" s="125" t="s">
        <v>4</v>
      </c>
      <c r="E59" s="65">
        <v>30</v>
      </c>
      <c r="F59" s="65">
        <v>18.45</v>
      </c>
      <c r="G59" s="65">
        <f t="shared" si="8"/>
        <v>553.5</v>
      </c>
      <c r="H59" s="126">
        <f t="shared" si="2"/>
        <v>23.06</v>
      </c>
      <c r="I59" s="126">
        <f t="shared" si="9"/>
        <v>692.04</v>
      </c>
      <c r="J59" s="70">
        <f t="shared" si="10"/>
        <v>553.5</v>
      </c>
      <c r="K59" s="189">
        <f t="shared" si="0"/>
        <v>1.4305460379384724E-4</v>
      </c>
    </row>
    <row r="60" spans="1:11" ht="25.5" hidden="1" x14ac:dyDescent="0.2">
      <c r="A60" s="63" t="s">
        <v>1205</v>
      </c>
      <c r="B60" s="124" t="s">
        <v>1206</v>
      </c>
      <c r="C60" s="64" t="s">
        <v>1207</v>
      </c>
      <c r="D60" s="125" t="s">
        <v>30</v>
      </c>
      <c r="E60" s="65">
        <v>62.1</v>
      </c>
      <c r="F60" s="65">
        <v>14.03</v>
      </c>
      <c r="G60" s="65">
        <f t="shared" si="8"/>
        <v>871.26</v>
      </c>
      <c r="H60" s="126">
        <f t="shared" si="2"/>
        <v>17.54</v>
      </c>
      <c r="I60" s="126">
        <f t="shared" si="9"/>
        <v>1089.33</v>
      </c>
      <c r="J60" s="70">
        <f t="shared" si="10"/>
        <v>871.26</v>
      </c>
      <c r="K60" s="189">
        <f t="shared" si="0"/>
        <v>2.2518015078716781E-4</v>
      </c>
    </row>
    <row r="61" spans="1:11" ht="25.5" hidden="1" x14ac:dyDescent="0.2">
      <c r="A61" s="63" t="s">
        <v>1208</v>
      </c>
      <c r="B61" s="124" t="s">
        <v>850</v>
      </c>
      <c r="C61" s="64" t="s">
        <v>1209</v>
      </c>
      <c r="D61" s="125" t="s">
        <v>30</v>
      </c>
      <c r="E61" s="65">
        <f>65.6+194</f>
        <v>259.60000000000002</v>
      </c>
      <c r="F61" s="65">
        <v>11.81</v>
      </c>
      <c r="G61" s="65">
        <f t="shared" si="8"/>
        <v>3065.87</v>
      </c>
      <c r="H61" s="126">
        <f t="shared" si="2"/>
        <v>14.76</v>
      </c>
      <c r="I61" s="126">
        <f t="shared" si="9"/>
        <v>3833.25</v>
      </c>
      <c r="J61" s="70"/>
      <c r="K61" s="189">
        <f t="shared" si="0"/>
        <v>7.9238780994272723E-4</v>
      </c>
    </row>
    <row r="62" spans="1:11" ht="31.5" hidden="1" customHeight="1" x14ac:dyDescent="0.2">
      <c r="A62" s="63" t="s">
        <v>1112</v>
      </c>
      <c r="B62" s="124" t="s">
        <v>848</v>
      </c>
      <c r="C62" s="64" t="s">
        <v>1086</v>
      </c>
      <c r="D62" s="125" t="s">
        <v>9</v>
      </c>
      <c r="E62" s="65">
        <f>22.6+7+11.2</f>
        <v>40.799999999999997</v>
      </c>
      <c r="F62" s="65">
        <v>180.21</v>
      </c>
      <c r="G62" s="65">
        <f t="shared" si="8"/>
        <v>7352.56</v>
      </c>
      <c r="H62" s="126">
        <f t="shared" si="2"/>
        <v>225.31</v>
      </c>
      <c r="I62" s="126">
        <f t="shared" si="9"/>
        <v>9192.9</v>
      </c>
      <c r="J62" s="70">
        <f t="shared" si="10"/>
        <v>7352.56</v>
      </c>
      <c r="K62" s="189">
        <f t="shared" si="0"/>
        <v>1.9003044147974948E-3</v>
      </c>
    </row>
    <row r="63" spans="1:11" x14ac:dyDescent="0.2">
      <c r="A63" s="127" t="s">
        <v>82</v>
      </c>
      <c r="B63" s="128"/>
      <c r="C63" s="66" t="s">
        <v>1058</v>
      </c>
      <c r="D63" s="66"/>
      <c r="E63" s="141"/>
      <c r="F63" s="143">
        <f>SUM(F64:F73)</f>
        <v>842.18</v>
      </c>
      <c r="G63" s="143">
        <f>SUM(G64:G73)</f>
        <v>40111.79</v>
      </c>
      <c r="H63" s="129">
        <f>SUM(H64:H73)</f>
        <v>1052.93</v>
      </c>
      <c r="I63" s="129">
        <f>SUM(I64:I73)</f>
        <v>50151.73</v>
      </c>
      <c r="J63" s="75">
        <f>SUM(J64:J73)</f>
        <v>40111.79</v>
      </c>
      <c r="K63" s="189">
        <f t="shared" si="0"/>
        <v>1.0367082632110865E-2</v>
      </c>
    </row>
    <row r="64" spans="1:11" ht="25.5" hidden="1" x14ac:dyDescent="0.2">
      <c r="A64" s="63" t="s">
        <v>83</v>
      </c>
      <c r="B64" s="124" t="s">
        <v>849</v>
      </c>
      <c r="C64" s="64" t="s">
        <v>84</v>
      </c>
      <c r="D64" s="125" t="s">
        <v>4</v>
      </c>
      <c r="E64" s="65">
        <f>11.3+20+5.6</f>
        <v>36.9</v>
      </c>
      <c r="F64" s="65">
        <v>102.49</v>
      </c>
      <c r="G64" s="65">
        <f t="shared" si="8"/>
        <v>3781.88</v>
      </c>
      <c r="H64" s="126">
        <f t="shared" si="2"/>
        <v>128.13999999999999</v>
      </c>
      <c r="I64" s="126">
        <f t="shared" si="9"/>
        <v>4728.4799999999996</v>
      </c>
      <c r="J64" s="70">
        <f t="shared" ref="J64:J73" si="11">TRUNC(E64 * F64, 2)</f>
        <v>3781.88</v>
      </c>
      <c r="K64" s="189">
        <f t="shared" si="0"/>
        <v>9.7744470398695277E-4</v>
      </c>
    </row>
    <row r="65" spans="1:12" ht="25.5" hidden="1" x14ac:dyDescent="0.2">
      <c r="A65" s="63" t="s">
        <v>1113</v>
      </c>
      <c r="B65" s="124" t="s">
        <v>844</v>
      </c>
      <c r="C65" s="64" t="s">
        <v>77</v>
      </c>
      <c r="D65" s="125" t="s">
        <v>30</v>
      </c>
      <c r="E65" s="65">
        <f>282.15+139.9</f>
        <v>422.04999999999995</v>
      </c>
      <c r="F65" s="65">
        <v>13.65</v>
      </c>
      <c r="G65" s="65">
        <f t="shared" si="8"/>
        <v>5760.98</v>
      </c>
      <c r="H65" s="126">
        <f t="shared" si="2"/>
        <v>17.059999999999999</v>
      </c>
      <c r="I65" s="126">
        <f t="shared" si="9"/>
        <v>7202.95</v>
      </c>
      <c r="J65" s="70">
        <f t="shared" si="11"/>
        <v>5760.98</v>
      </c>
      <c r="K65" s="189">
        <f t="shared" si="0"/>
        <v>1.488953179580504E-3</v>
      </c>
    </row>
    <row r="66" spans="1:12" ht="25.5" hidden="1" x14ac:dyDescent="0.2">
      <c r="A66" s="63" t="s">
        <v>1114</v>
      </c>
      <c r="B66" s="124" t="s">
        <v>850</v>
      </c>
      <c r="C66" s="64" t="s">
        <v>85</v>
      </c>
      <c r="D66" s="125" t="s">
        <v>30</v>
      </c>
      <c r="E66" s="65">
        <f>395+105+195.9</f>
        <v>695.9</v>
      </c>
      <c r="F66" s="65">
        <v>11.81</v>
      </c>
      <c r="G66" s="65">
        <f t="shared" si="8"/>
        <v>8218.57</v>
      </c>
      <c r="H66" s="126">
        <f t="shared" si="2"/>
        <v>14.76</v>
      </c>
      <c r="I66" s="126">
        <f t="shared" si="9"/>
        <v>10275.67</v>
      </c>
      <c r="J66" s="70">
        <f t="shared" si="11"/>
        <v>8218.57</v>
      </c>
      <c r="K66" s="189">
        <f t="shared" si="0"/>
        <v>2.1241285194010784E-3</v>
      </c>
    </row>
    <row r="67" spans="1:12" ht="25.5" hidden="1" x14ac:dyDescent="0.2">
      <c r="A67" s="63" t="s">
        <v>1115</v>
      </c>
      <c r="B67" s="124" t="s">
        <v>846</v>
      </c>
      <c r="C67" s="64" t="s">
        <v>79</v>
      </c>
      <c r="D67" s="125" t="s">
        <v>30</v>
      </c>
      <c r="E67" s="65">
        <f>451.45+65+223.85</f>
        <v>740.30000000000007</v>
      </c>
      <c r="F67" s="65">
        <v>10</v>
      </c>
      <c r="G67" s="65">
        <f t="shared" si="8"/>
        <v>7403</v>
      </c>
      <c r="H67" s="126">
        <f t="shared" si="2"/>
        <v>12.5</v>
      </c>
      <c r="I67" s="126">
        <f t="shared" si="9"/>
        <v>9255.9699999999993</v>
      </c>
      <c r="J67" s="70">
        <f t="shared" si="11"/>
        <v>7403</v>
      </c>
      <c r="K67" s="189">
        <f t="shared" si="0"/>
        <v>1.9133418893094853E-3</v>
      </c>
    </row>
    <row r="68" spans="1:12" ht="25.5" hidden="1" x14ac:dyDescent="0.2">
      <c r="A68" s="63" t="s">
        <v>1116</v>
      </c>
      <c r="B68" s="124" t="s">
        <v>847</v>
      </c>
      <c r="C68" s="64" t="s">
        <v>80</v>
      </c>
      <c r="D68" s="125" t="s">
        <v>9</v>
      </c>
      <c r="E68" s="65">
        <f>11.3+3.5+5.6</f>
        <v>20.399999999999999</v>
      </c>
      <c r="F68" s="65">
        <v>460.86</v>
      </c>
      <c r="G68" s="65">
        <f t="shared" si="8"/>
        <v>9401.5400000000009</v>
      </c>
      <c r="H68" s="126">
        <f t="shared" si="2"/>
        <v>576.21</v>
      </c>
      <c r="I68" s="126">
        <f t="shared" si="9"/>
        <v>11754.74</v>
      </c>
      <c r="J68" s="70">
        <f t="shared" si="11"/>
        <v>9401.5400000000009</v>
      </c>
      <c r="K68" s="189">
        <f t="shared" si="0"/>
        <v>2.4298735237843015E-3</v>
      </c>
    </row>
    <row r="69" spans="1:12" hidden="1" x14ac:dyDescent="0.2">
      <c r="A69" s="63" t="s">
        <v>1064</v>
      </c>
      <c r="B69" s="124" t="s">
        <v>1198</v>
      </c>
      <c r="C69" s="64" t="s">
        <v>1199</v>
      </c>
      <c r="D69" s="125" t="s">
        <v>4</v>
      </c>
      <c r="E69" s="65">
        <v>30</v>
      </c>
      <c r="F69" s="65">
        <v>9.1199999999999992</v>
      </c>
      <c r="G69" s="65">
        <f t="shared" si="8"/>
        <v>273.60000000000002</v>
      </c>
      <c r="H69" s="126">
        <f t="shared" si="2"/>
        <v>11.4</v>
      </c>
      <c r="I69" s="126">
        <f t="shared" si="9"/>
        <v>342.08</v>
      </c>
      <c r="J69" s="70">
        <f t="shared" si="11"/>
        <v>273.60000000000002</v>
      </c>
      <c r="K69" s="189">
        <f t="shared" si="0"/>
        <v>7.0712847329344056E-5</v>
      </c>
    </row>
    <row r="70" spans="1:12" ht="25.5" hidden="1" x14ac:dyDescent="0.2">
      <c r="A70" s="63" t="s">
        <v>1210</v>
      </c>
      <c r="B70" s="124" t="s">
        <v>895</v>
      </c>
      <c r="C70" s="64" t="s">
        <v>318</v>
      </c>
      <c r="D70" s="125" t="s">
        <v>4</v>
      </c>
      <c r="E70" s="65">
        <v>30</v>
      </c>
      <c r="F70" s="65">
        <v>21.56</v>
      </c>
      <c r="G70" s="65">
        <f t="shared" si="8"/>
        <v>646.79999999999995</v>
      </c>
      <c r="H70" s="126">
        <f t="shared" si="2"/>
        <v>26.95</v>
      </c>
      <c r="I70" s="126">
        <f t="shared" si="9"/>
        <v>808.69</v>
      </c>
      <c r="J70" s="70">
        <f t="shared" si="11"/>
        <v>646.79999999999995</v>
      </c>
      <c r="K70" s="189">
        <f t="shared" si="0"/>
        <v>1.671678335674908E-4</v>
      </c>
    </row>
    <row r="71" spans="1:12" ht="25.5" hidden="1" x14ac:dyDescent="0.2">
      <c r="A71" s="63" t="s">
        <v>1211</v>
      </c>
      <c r="B71" s="130" t="s">
        <v>1203</v>
      </c>
      <c r="C71" s="64" t="s">
        <v>1204</v>
      </c>
      <c r="D71" s="125" t="s">
        <v>4</v>
      </c>
      <c r="E71" s="65">
        <v>30</v>
      </c>
      <c r="F71" s="65">
        <v>18.45</v>
      </c>
      <c r="G71" s="65">
        <f t="shared" si="8"/>
        <v>553.5</v>
      </c>
      <c r="H71" s="126">
        <f t="shared" si="2"/>
        <v>23.06</v>
      </c>
      <c r="I71" s="126">
        <f t="shared" si="9"/>
        <v>692.04</v>
      </c>
      <c r="J71" s="70">
        <f t="shared" si="11"/>
        <v>553.5</v>
      </c>
      <c r="K71" s="189">
        <f t="shared" si="0"/>
        <v>1.4305460379384724E-4</v>
      </c>
    </row>
    <row r="72" spans="1:12" ht="25.5" hidden="1" x14ac:dyDescent="0.2">
      <c r="A72" s="63" t="s">
        <v>1212</v>
      </c>
      <c r="B72" s="124" t="s">
        <v>1206</v>
      </c>
      <c r="C72" s="64" t="s">
        <v>1207</v>
      </c>
      <c r="D72" s="125" t="s">
        <v>30</v>
      </c>
      <c r="E72" s="65">
        <v>28.2</v>
      </c>
      <c r="F72" s="65">
        <v>14.03</v>
      </c>
      <c r="G72" s="65">
        <f t="shared" si="8"/>
        <v>395.64</v>
      </c>
      <c r="H72" s="126">
        <f t="shared" si="2"/>
        <v>17.54</v>
      </c>
      <c r="I72" s="126">
        <f t="shared" si="9"/>
        <v>494.66</v>
      </c>
      <c r="J72" s="70">
        <f t="shared" si="11"/>
        <v>395.64</v>
      </c>
      <c r="K72" s="189">
        <f t="shared" si="0"/>
        <v>1.0225332395911288E-4</v>
      </c>
    </row>
    <row r="73" spans="1:12" ht="25.5" hidden="1" x14ac:dyDescent="0.2">
      <c r="A73" s="63" t="s">
        <v>1213</v>
      </c>
      <c r="B73" s="124" t="s">
        <v>848</v>
      </c>
      <c r="C73" s="64" t="s">
        <v>1086</v>
      </c>
      <c r="D73" s="125" t="s">
        <v>9</v>
      </c>
      <c r="E73" s="65">
        <f>11.3+3.5+5.6</f>
        <v>20.399999999999999</v>
      </c>
      <c r="F73" s="65">
        <v>180.21</v>
      </c>
      <c r="G73" s="65">
        <f t="shared" si="8"/>
        <v>3676.28</v>
      </c>
      <c r="H73" s="126">
        <f t="shared" si="2"/>
        <v>225.31</v>
      </c>
      <c r="I73" s="126">
        <f t="shared" si="9"/>
        <v>4596.45</v>
      </c>
      <c r="J73" s="70">
        <f t="shared" si="11"/>
        <v>3676.28</v>
      </c>
      <c r="K73" s="189">
        <f t="shared" si="0"/>
        <v>9.5015220739874738E-4</v>
      </c>
    </row>
    <row r="74" spans="1:12" x14ac:dyDescent="0.2">
      <c r="A74" s="127" t="s">
        <v>86</v>
      </c>
      <c r="B74" s="128"/>
      <c r="C74" s="66" t="s">
        <v>1059</v>
      </c>
      <c r="D74" s="66"/>
      <c r="E74" s="141"/>
      <c r="F74" s="143">
        <f>SUM(F75:F84)</f>
        <v>824.08</v>
      </c>
      <c r="G74" s="143">
        <f>SUM(G75:G84)</f>
        <v>18655.339999999997</v>
      </c>
      <c r="H74" s="129">
        <f>SUM(H75:H84)</f>
        <v>1030.3</v>
      </c>
      <c r="I74" s="129">
        <f>SUM(I75:I84)</f>
        <v>22928.5</v>
      </c>
      <c r="J74" s="75">
        <f>SUM(J75:J84)</f>
        <v>16272.139999999998</v>
      </c>
      <c r="K74" s="189">
        <f t="shared" si="0"/>
        <v>4.7396501402913512E-3</v>
      </c>
    </row>
    <row r="75" spans="1:12" ht="25.5" hidden="1" x14ac:dyDescent="0.2">
      <c r="A75" s="63" t="s">
        <v>87</v>
      </c>
      <c r="B75" s="124" t="s">
        <v>851</v>
      </c>
      <c r="C75" s="64" t="s">
        <v>88</v>
      </c>
      <c r="D75" s="125" t="s">
        <v>9</v>
      </c>
      <c r="E75" s="65">
        <f>5.65+2+2.8</f>
        <v>10.45</v>
      </c>
      <c r="F75" s="65">
        <v>15.13</v>
      </c>
      <c r="G75" s="65">
        <f t="shared" si="8"/>
        <v>158.1</v>
      </c>
      <c r="H75" s="126">
        <f t="shared" si="2"/>
        <v>18.91</v>
      </c>
      <c r="I75" s="126">
        <f t="shared" si="9"/>
        <v>197.67</v>
      </c>
      <c r="J75" s="70">
        <f t="shared" ref="J75:J84" si="12">TRUNC(E75* F75, 2)</f>
        <v>158.1</v>
      </c>
      <c r="K75" s="189">
        <f t="shared" si="0"/>
        <v>4.0861226998337933E-5</v>
      </c>
    </row>
    <row r="76" spans="1:12" ht="25.5" hidden="1" x14ac:dyDescent="0.2">
      <c r="A76" s="63" t="s">
        <v>1097</v>
      </c>
      <c r="B76" s="124" t="s">
        <v>852</v>
      </c>
      <c r="C76" s="64" t="s">
        <v>89</v>
      </c>
      <c r="D76" s="125" t="s">
        <v>30</v>
      </c>
      <c r="E76" s="65">
        <f>112.9+30+55.9</f>
        <v>198.8</v>
      </c>
      <c r="F76" s="65">
        <v>13.25</v>
      </c>
      <c r="G76" s="65">
        <f t="shared" si="8"/>
        <v>2634.1</v>
      </c>
      <c r="H76" s="126">
        <f t="shared" si="2"/>
        <v>16.559999999999999</v>
      </c>
      <c r="I76" s="126">
        <f t="shared" si="9"/>
        <v>3293.41</v>
      </c>
      <c r="J76" s="70">
        <f t="shared" si="12"/>
        <v>2634.1</v>
      </c>
      <c r="K76" s="189">
        <f t="shared" ref="K76:K139" si="13">I76/$I$431</f>
        <v>6.8079513132289233E-4</v>
      </c>
    </row>
    <row r="77" spans="1:12" ht="25.5" hidden="1" x14ac:dyDescent="0.2">
      <c r="A77" s="63" t="s">
        <v>1098</v>
      </c>
      <c r="B77" s="124" t="s">
        <v>853</v>
      </c>
      <c r="C77" s="64" t="s">
        <v>90</v>
      </c>
      <c r="D77" s="125" t="s">
        <v>30</v>
      </c>
      <c r="E77" s="65">
        <f>225.75+40+111.9</f>
        <v>377.65</v>
      </c>
      <c r="F77" s="65">
        <v>12.71</v>
      </c>
      <c r="G77" s="65">
        <f t="shared" si="8"/>
        <v>4799.93</v>
      </c>
      <c r="H77" s="126">
        <f t="shared" si="2"/>
        <v>15.89</v>
      </c>
      <c r="I77" s="126">
        <f t="shared" si="9"/>
        <v>6001.35</v>
      </c>
      <c r="J77" s="70">
        <f t="shared" si="12"/>
        <v>4799.93</v>
      </c>
      <c r="K77" s="189">
        <f t="shared" si="13"/>
        <v>1.2405652079044639E-3</v>
      </c>
    </row>
    <row r="78" spans="1:12" ht="25.5" hidden="1" x14ac:dyDescent="0.2">
      <c r="A78" s="63" t="s">
        <v>1099</v>
      </c>
      <c r="B78" s="124" t="s">
        <v>854</v>
      </c>
      <c r="C78" s="64" t="s">
        <v>91</v>
      </c>
      <c r="D78" s="125" t="s">
        <v>30</v>
      </c>
      <c r="E78" s="65">
        <f>112.9+10+55.95</f>
        <v>178.85000000000002</v>
      </c>
      <c r="F78" s="65">
        <v>13.64</v>
      </c>
      <c r="G78" s="65">
        <f t="shared" si="8"/>
        <v>2439.5100000000002</v>
      </c>
      <c r="H78" s="126">
        <f t="shared" ref="H78:H141" si="14">TRUNC(F78*(1+I$8),2)</f>
        <v>17.05</v>
      </c>
      <c r="I78" s="126">
        <f t="shared" si="9"/>
        <v>3050.11</v>
      </c>
      <c r="J78" s="70">
        <f t="shared" si="12"/>
        <v>2439.5100000000002</v>
      </c>
      <c r="K78" s="189">
        <f t="shared" si="13"/>
        <v>6.3050152820306831E-4</v>
      </c>
    </row>
    <row r="79" spans="1:12" ht="27.75" hidden="1" customHeight="1" x14ac:dyDescent="0.2">
      <c r="A79" s="63" t="s">
        <v>1100</v>
      </c>
      <c r="B79" s="124" t="s">
        <v>847</v>
      </c>
      <c r="C79" s="64" t="s">
        <v>92</v>
      </c>
      <c r="D79" s="125" t="s">
        <v>9</v>
      </c>
      <c r="E79" s="65">
        <f>5.65+1+2.8</f>
        <v>9.4499999999999993</v>
      </c>
      <c r="F79" s="65">
        <v>460.86</v>
      </c>
      <c r="G79" s="65">
        <f t="shared" si="8"/>
        <v>4355.12</v>
      </c>
      <c r="H79" s="126">
        <f t="shared" si="14"/>
        <v>576.21</v>
      </c>
      <c r="I79" s="126">
        <f t="shared" si="9"/>
        <v>5445.2</v>
      </c>
      <c r="J79" s="70">
        <f t="shared" si="12"/>
        <v>4355.12</v>
      </c>
      <c r="K79" s="189">
        <f t="shared" si="13"/>
        <v>1.1256010181178212E-3</v>
      </c>
    </row>
    <row r="80" spans="1:12" s="196" customFormat="1" ht="30.75" hidden="1" customHeight="1" x14ac:dyDescent="0.2">
      <c r="A80" s="190" t="s">
        <v>1214</v>
      </c>
      <c r="B80" s="191" t="s">
        <v>1215</v>
      </c>
      <c r="C80" s="192" t="s">
        <v>1216</v>
      </c>
      <c r="D80" s="193" t="s">
        <v>1217</v>
      </c>
      <c r="E80" s="194">
        <v>20</v>
      </c>
      <c r="F80" s="65">
        <v>79.150000000000006</v>
      </c>
      <c r="G80" s="65">
        <f t="shared" si="8"/>
        <v>1583</v>
      </c>
      <c r="H80" s="126">
        <f t="shared" si="14"/>
        <v>98.96</v>
      </c>
      <c r="I80" s="126">
        <f t="shared" ref="I80" si="15">TRUNC(G80*(1+E$2),2)</f>
        <v>1583</v>
      </c>
      <c r="J80" s="195" t="s">
        <v>1218</v>
      </c>
      <c r="K80" s="189">
        <f t="shared" si="13"/>
        <v>3.2722882753259951E-4</v>
      </c>
      <c r="L80" s="196" t="s">
        <v>1219</v>
      </c>
    </row>
    <row r="81" spans="1:12" hidden="1" x14ac:dyDescent="0.2">
      <c r="A81" s="63" t="s">
        <v>1220</v>
      </c>
      <c r="B81" s="124" t="s">
        <v>1198</v>
      </c>
      <c r="C81" s="64" t="s">
        <v>1199</v>
      </c>
      <c r="D81" s="125" t="s">
        <v>4</v>
      </c>
      <c r="E81" s="65">
        <v>20</v>
      </c>
      <c r="F81" s="65">
        <v>9.1199999999999992</v>
      </c>
      <c r="G81" s="65">
        <f t="shared" si="8"/>
        <v>182.4</v>
      </c>
      <c r="H81" s="126">
        <f t="shared" si="14"/>
        <v>11.4</v>
      </c>
      <c r="I81" s="126">
        <f t="shared" si="9"/>
        <v>228.05</v>
      </c>
      <c r="J81" s="70">
        <f t="shared" si="12"/>
        <v>182.4</v>
      </c>
      <c r="K81" s="189">
        <f t="shared" si="13"/>
        <v>4.71412091717052E-5</v>
      </c>
    </row>
    <row r="82" spans="1:12" ht="25.5" hidden="1" x14ac:dyDescent="0.2">
      <c r="A82" s="63" t="s">
        <v>1221</v>
      </c>
      <c r="B82" s="124" t="s">
        <v>895</v>
      </c>
      <c r="C82" s="64" t="s">
        <v>318</v>
      </c>
      <c r="D82" s="125" t="s">
        <v>4</v>
      </c>
      <c r="E82" s="65">
        <f>20</f>
        <v>20</v>
      </c>
      <c r="F82" s="65">
        <v>21.56</v>
      </c>
      <c r="G82" s="65">
        <f t="shared" si="8"/>
        <v>431.2</v>
      </c>
      <c r="H82" s="126">
        <f t="shared" si="14"/>
        <v>26.95</v>
      </c>
      <c r="I82" s="126">
        <f t="shared" si="9"/>
        <v>539.12</v>
      </c>
      <c r="J82" s="70"/>
      <c r="K82" s="189">
        <f t="shared" si="13"/>
        <v>1.1144384428261218E-4</v>
      </c>
    </row>
    <row r="83" spans="1:12" ht="25.5" hidden="1" x14ac:dyDescent="0.2">
      <c r="A83" s="63" t="s">
        <v>1222</v>
      </c>
      <c r="B83" s="130" t="s">
        <v>1203</v>
      </c>
      <c r="C83" s="64" t="s">
        <v>1204</v>
      </c>
      <c r="D83" s="125" t="s">
        <v>4</v>
      </c>
      <c r="E83" s="65">
        <v>20</v>
      </c>
      <c r="F83" s="65">
        <v>18.45</v>
      </c>
      <c r="G83" s="65">
        <f t="shared" si="8"/>
        <v>369</v>
      </c>
      <c r="H83" s="126">
        <f t="shared" si="14"/>
        <v>23.06</v>
      </c>
      <c r="I83" s="126">
        <f t="shared" si="9"/>
        <v>461.36</v>
      </c>
      <c r="J83" s="70"/>
      <c r="K83" s="189">
        <f t="shared" si="13"/>
        <v>9.5369735862564826E-5</v>
      </c>
    </row>
    <row r="84" spans="1:12" ht="30" hidden="1" customHeight="1" x14ac:dyDescent="0.2">
      <c r="A84" s="63" t="s">
        <v>1101</v>
      </c>
      <c r="B84" s="124" t="s">
        <v>848</v>
      </c>
      <c r="C84" s="64" t="s">
        <v>81</v>
      </c>
      <c r="D84" s="125" t="s">
        <v>9</v>
      </c>
      <c r="E84" s="65">
        <f>5.65+1+2.8</f>
        <v>9.4499999999999993</v>
      </c>
      <c r="F84" s="65">
        <v>180.21</v>
      </c>
      <c r="G84" s="65">
        <f t="shared" si="8"/>
        <v>1702.98</v>
      </c>
      <c r="H84" s="126">
        <f t="shared" si="14"/>
        <v>225.31</v>
      </c>
      <c r="I84" s="126">
        <f t="shared" si="9"/>
        <v>2129.23</v>
      </c>
      <c r="J84" s="70">
        <f t="shared" si="12"/>
        <v>1702.98</v>
      </c>
      <c r="K84" s="189">
        <f t="shared" si="13"/>
        <v>4.4014241089528549E-4</v>
      </c>
    </row>
    <row r="85" spans="1:12" x14ac:dyDescent="0.2">
      <c r="A85" s="127" t="s">
        <v>93</v>
      </c>
      <c r="B85" s="128"/>
      <c r="C85" s="66" t="s">
        <v>1060</v>
      </c>
      <c r="D85" s="66"/>
      <c r="E85" s="141"/>
      <c r="F85" s="143">
        <f>F86+F87</f>
        <v>641.07000000000005</v>
      </c>
      <c r="G85" s="143">
        <f>G86+G87</f>
        <v>3365.61</v>
      </c>
      <c r="H85" s="129">
        <f>H86+H87</f>
        <v>801.52</v>
      </c>
      <c r="I85" s="129">
        <f>SUM(I86:I87)</f>
        <v>4208.01</v>
      </c>
      <c r="J85" s="75">
        <f>SUM(J86:J87)</f>
        <v>3365.61</v>
      </c>
      <c r="K85" s="189">
        <f t="shared" si="13"/>
        <v>8.6985608246712212E-4</v>
      </c>
    </row>
    <row r="86" spans="1:12" ht="25.5" hidden="1" x14ac:dyDescent="0.2">
      <c r="A86" s="63" t="s">
        <v>94</v>
      </c>
      <c r="B86" s="124" t="s">
        <v>847</v>
      </c>
      <c r="C86" s="64" t="s">
        <v>80</v>
      </c>
      <c r="D86" s="125" t="s">
        <v>9</v>
      </c>
      <c r="E86" s="65">
        <f>2.85+1+1.4</f>
        <v>5.25</v>
      </c>
      <c r="F86" s="65">
        <v>460.86</v>
      </c>
      <c r="G86" s="65">
        <f t="shared" si="8"/>
        <v>2419.5100000000002</v>
      </c>
      <c r="H86" s="126">
        <f t="shared" si="14"/>
        <v>576.21</v>
      </c>
      <c r="I86" s="126">
        <f t="shared" si="9"/>
        <v>3025.11</v>
      </c>
      <c r="J86" s="70">
        <f>TRUNC(E86* F86, 2)</f>
        <v>2419.5100000000002</v>
      </c>
      <c r="K86" s="189">
        <f t="shared" si="13"/>
        <v>6.2533366927172598E-4</v>
      </c>
    </row>
    <row r="87" spans="1:12" ht="25.5" hidden="1" x14ac:dyDescent="0.2">
      <c r="A87" s="63" t="s">
        <v>95</v>
      </c>
      <c r="B87" s="124" t="s">
        <v>848</v>
      </c>
      <c r="C87" s="64" t="s">
        <v>81</v>
      </c>
      <c r="D87" s="125" t="s">
        <v>9</v>
      </c>
      <c r="E87" s="65">
        <f>2.85+1+1.4</f>
        <v>5.25</v>
      </c>
      <c r="F87" s="65">
        <v>180.21</v>
      </c>
      <c r="G87" s="65">
        <f t="shared" si="8"/>
        <v>946.1</v>
      </c>
      <c r="H87" s="126">
        <f t="shared" si="14"/>
        <v>225.31</v>
      </c>
      <c r="I87" s="126">
        <f t="shared" si="9"/>
        <v>1182.9000000000001</v>
      </c>
      <c r="J87" s="70">
        <f>TRUNC(E87 * F87, 2)</f>
        <v>946.1</v>
      </c>
      <c r="K87" s="189">
        <f t="shared" si="13"/>
        <v>2.4452241319539609E-4</v>
      </c>
    </row>
    <row r="88" spans="1:12" x14ac:dyDescent="0.2">
      <c r="A88" s="127" t="s">
        <v>96</v>
      </c>
      <c r="B88" s="128"/>
      <c r="C88" s="66" t="s">
        <v>97</v>
      </c>
      <c r="D88" s="66"/>
      <c r="E88" s="141"/>
      <c r="F88" s="143">
        <f>F89+F96</f>
        <v>270.47000000000003</v>
      </c>
      <c r="G88" s="143">
        <f>G89+G96</f>
        <v>117737.48999999999</v>
      </c>
      <c r="H88" s="129">
        <f>H89+H96</f>
        <v>338.13</v>
      </c>
      <c r="I88" s="129">
        <f>I89+I96</f>
        <v>158138.16</v>
      </c>
      <c r="J88" s="75">
        <f>J89+J96</f>
        <v>90125.489999999991</v>
      </c>
      <c r="K88" s="189">
        <f t="shared" si="13"/>
        <v>3.2689428101682017E-2</v>
      </c>
    </row>
    <row r="89" spans="1:12" ht="25.5" x14ac:dyDescent="0.2">
      <c r="A89" s="127" t="s">
        <v>98</v>
      </c>
      <c r="B89" s="128"/>
      <c r="C89" s="66" t="s">
        <v>99</v>
      </c>
      <c r="D89" s="66"/>
      <c r="E89" s="141"/>
      <c r="F89" s="143">
        <f>SUM(F90:F95)</f>
        <v>103.03999999999999</v>
      </c>
      <c r="G89" s="143">
        <f>G90+G91+G93+G94+G95</f>
        <v>84109.18</v>
      </c>
      <c r="H89" s="129">
        <f>SUM(H90:H95)</f>
        <v>128.80000000000001</v>
      </c>
      <c r="I89" s="129">
        <f>SUM(I90:I95)</f>
        <v>116092.69</v>
      </c>
      <c r="J89" s="75">
        <f>SUM(J90:J95)</f>
        <v>56497.179999999993</v>
      </c>
      <c r="K89" s="189">
        <f t="shared" si="13"/>
        <v>2.399802579520249E-2</v>
      </c>
    </row>
    <row r="90" spans="1:12" ht="40.5" hidden="1" customHeight="1" x14ac:dyDescent="0.2">
      <c r="A90" s="63" t="s">
        <v>100</v>
      </c>
      <c r="B90" s="124" t="s">
        <v>855</v>
      </c>
      <c r="C90" s="64" t="s">
        <v>101</v>
      </c>
      <c r="D90" s="125" t="s">
        <v>30</v>
      </c>
      <c r="E90" s="65">
        <f>282.15+539.9</f>
        <v>822.05</v>
      </c>
      <c r="F90" s="65">
        <v>18.32</v>
      </c>
      <c r="G90" s="65">
        <f t="shared" ref="G90:G106" si="16">TRUNC(E90*F90,2)</f>
        <v>15059.95</v>
      </c>
      <c r="H90" s="126">
        <f t="shared" si="14"/>
        <v>22.9</v>
      </c>
      <c r="I90" s="126">
        <f t="shared" ref="I90:I106" si="17">TRUNC(G90*(1+I$8),2)</f>
        <v>18829.45</v>
      </c>
      <c r="J90" s="70">
        <f>TRUNC(E90 * F90, 2)</f>
        <v>15059.95</v>
      </c>
      <c r="K90" s="189">
        <f t="shared" si="13"/>
        <v>3.8923176541905916E-3</v>
      </c>
    </row>
    <row r="91" spans="1:12" ht="41.25" hidden="1" customHeight="1" x14ac:dyDescent="0.2">
      <c r="A91" s="63" t="s">
        <v>1102</v>
      </c>
      <c r="B91" s="124" t="s">
        <v>856</v>
      </c>
      <c r="C91" s="64" t="s">
        <v>102</v>
      </c>
      <c r="D91" s="125" t="s">
        <v>30</v>
      </c>
      <c r="E91" s="65">
        <f>564.3+750+679.8</f>
        <v>1994.1</v>
      </c>
      <c r="F91" s="65">
        <v>18.7</v>
      </c>
      <c r="G91" s="65">
        <f t="shared" si="16"/>
        <v>37289.67</v>
      </c>
      <c r="H91" s="126">
        <f t="shared" si="14"/>
        <v>23.38</v>
      </c>
      <c r="I91" s="126">
        <f t="shared" si="17"/>
        <v>46623.27</v>
      </c>
      <c r="J91" s="70">
        <f>TRUNC(E91 * F91, 2)</f>
        <v>37289.67</v>
      </c>
      <c r="K91" s="189">
        <f t="shared" si="13"/>
        <v>9.6376992911154907E-3</v>
      </c>
    </row>
    <row r="92" spans="1:12" s="199" customFormat="1" ht="40.5" hidden="1" customHeight="1" x14ac:dyDescent="0.2">
      <c r="A92" s="190" t="s">
        <v>1223</v>
      </c>
      <c r="B92" s="191">
        <v>100778</v>
      </c>
      <c r="C92" s="192" t="s">
        <v>1224</v>
      </c>
      <c r="D92" s="193" t="s">
        <v>30</v>
      </c>
      <c r="E92" s="194">
        <v>850</v>
      </c>
      <c r="F92" s="197">
        <v>12.86</v>
      </c>
      <c r="G92" s="65">
        <f t="shared" si="16"/>
        <v>10931</v>
      </c>
      <c r="H92" s="126">
        <f t="shared" si="14"/>
        <v>16.07</v>
      </c>
      <c r="I92" s="126">
        <f t="shared" ref="I92" si="18">TRUNC(G92*(1+E$2),2)</f>
        <v>10931</v>
      </c>
      <c r="J92" s="198"/>
      <c r="K92" s="189">
        <f t="shared" si="13"/>
        <v>2.2595946391401425E-3</v>
      </c>
      <c r="L92" s="196" t="s">
        <v>1219</v>
      </c>
    </row>
    <row r="93" spans="1:12" ht="18.75" hidden="1" customHeight="1" x14ac:dyDescent="0.2">
      <c r="A93" s="63" t="s">
        <v>1225</v>
      </c>
      <c r="B93" s="130" t="s">
        <v>1198</v>
      </c>
      <c r="C93" s="64" t="s">
        <v>1199</v>
      </c>
      <c r="D93" s="125" t="s">
        <v>4</v>
      </c>
      <c r="E93" s="65">
        <f>30+870</f>
        <v>900</v>
      </c>
      <c r="F93" s="65">
        <v>9.1199999999999992</v>
      </c>
      <c r="G93" s="65">
        <f t="shared" si="16"/>
        <v>8208</v>
      </c>
      <c r="H93" s="126">
        <f t="shared" si="14"/>
        <v>11.4</v>
      </c>
      <c r="I93" s="126">
        <f t="shared" si="17"/>
        <v>10262.459999999999</v>
      </c>
      <c r="J93" s="70"/>
      <c r="K93" s="189">
        <f t="shared" si="13"/>
        <v>2.1213978227417568E-3</v>
      </c>
    </row>
    <row r="94" spans="1:12" ht="27.75" hidden="1" customHeight="1" x14ac:dyDescent="0.2">
      <c r="A94" s="63" t="s">
        <v>1226</v>
      </c>
      <c r="B94" s="130" t="s">
        <v>895</v>
      </c>
      <c r="C94" s="64" t="s">
        <v>1227</v>
      </c>
      <c r="D94" s="125" t="s">
        <v>4</v>
      </c>
      <c r="E94" s="65">
        <f>30+870</f>
        <v>900</v>
      </c>
      <c r="F94" s="65">
        <v>21.56</v>
      </c>
      <c r="G94" s="65">
        <f t="shared" si="16"/>
        <v>19404</v>
      </c>
      <c r="H94" s="126">
        <f t="shared" si="14"/>
        <v>26.95</v>
      </c>
      <c r="I94" s="126">
        <f t="shared" si="17"/>
        <v>24260.82</v>
      </c>
      <c r="J94" s="70"/>
      <c r="K94" s="189">
        <f t="shared" si="13"/>
        <v>5.0150598127475937E-3</v>
      </c>
    </row>
    <row r="95" spans="1:12" ht="40.5" hidden="1" customHeight="1" x14ac:dyDescent="0.2">
      <c r="A95" s="63" t="s">
        <v>1103</v>
      </c>
      <c r="B95" s="124" t="s">
        <v>857</v>
      </c>
      <c r="C95" s="64" t="s">
        <v>103</v>
      </c>
      <c r="D95" s="125" t="s">
        <v>30</v>
      </c>
      <c r="E95" s="65">
        <f>56.5+128</f>
        <v>184.5</v>
      </c>
      <c r="F95" s="65">
        <v>22.48</v>
      </c>
      <c r="G95" s="65">
        <f t="shared" si="16"/>
        <v>4147.5600000000004</v>
      </c>
      <c r="H95" s="126">
        <f t="shared" si="14"/>
        <v>28.1</v>
      </c>
      <c r="I95" s="126">
        <f t="shared" si="17"/>
        <v>5185.6899999999996</v>
      </c>
      <c r="J95" s="70">
        <f>TRUNC(E95 * F95, 2)</f>
        <v>4147.5600000000004</v>
      </c>
      <c r="K95" s="189">
        <f t="shared" si="13"/>
        <v>1.0719565752669146E-3</v>
      </c>
    </row>
    <row r="96" spans="1:12" x14ac:dyDescent="0.2">
      <c r="A96" s="127" t="s">
        <v>104</v>
      </c>
      <c r="B96" s="128"/>
      <c r="C96" s="66" t="s">
        <v>105</v>
      </c>
      <c r="D96" s="66"/>
      <c r="E96" s="141"/>
      <c r="F96" s="143">
        <f>F97</f>
        <v>167.43</v>
      </c>
      <c r="G96" s="143">
        <f>G97</f>
        <v>33628.31</v>
      </c>
      <c r="H96" s="129">
        <f>H97</f>
        <v>209.33</v>
      </c>
      <c r="I96" s="129">
        <f>I97</f>
        <v>42045.47</v>
      </c>
      <c r="J96" s="75">
        <f>J97</f>
        <v>33628.31</v>
      </c>
      <c r="K96" s="189">
        <f t="shared" si="13"/>
        <v>8.6914023064795249E-3</v>
      </c>
    </row>
    <row r="97" spans="1:11" ht="26.25" hidden="1" customHeight="1" x14ac:dyDescent="0.2">
      <c r="A97" s="63" t="s">
        <v>106</v>
      </c>
      <c r="B97" s="124" t="s">
        <v>858</v>
      </c>
      <c r="C97" s="64" t="s">
        <v>107</v>
      </c>
      <c r="D97" s="125" t="s">
        <v>4</v>
      </c>
      <c r="E97" s="65">
        <f>112.9+52+35.95</f>
        <v>200.85000000000002</v>
      </c>
      <c r="F97" s="65">
        <v>167.43</v>
      </c>
      <c r="G97" s="65">
        <f t="shared" si="16"/>
        <v>33628.31</v>
      </c>
      <c r="H97" s="126">
        <f t="shared" si="14"/>
        <v>209.33</v>
      </c>
      <c r="I97" s="126">
        <f t="shared" si="17"/>
        <v>42045.47</v>
      </c>
      <c r="J97" s="70">
        <f>TRUNC(E97* F97, 2)</f>
        <v>33628.31</v>
      </c>
      <c r="K97" s="189">
        <f t="shared" si="13"/>
        <v>8.6914023064795249E-3</v>
      </c>
    </row>
    <row r="98" spans="1:11" x14ac:dyDescent="0.2">
      <c r="A98" s="127" t="s">
        <v>108</v>
      </c>
      <c r="B98" s="128"/>
      <c r="C98" s="66" t="s">
        <v>109</v>
      </c>
      <c r="D98" s="66"/>
      <c r="E98" s="141"/>
      <c r="F98" s="143">
        <f>SUM(F99:F106)</f>
        <v>792.83</v>
      </c>
      <c r="G98" s="143">
        <f>G99+G100+G101+G102+G103+G104+G105+G106</f>
        <v>68747.23000000001</v>
      </c>
      <c r="H98" s="129">
        <f>SUM(H99:H106)</f>
        <v>991.23</v>
      </c>
      <c r="I98" s="129">
        <f>SUM(I99:I106)</f>
        <v>85954.610000000015</v>
      </c>
      <c r="J98" s="75">
        <f>SUM(J99:J106)</f>
        <v>68747.23000000001</v>
      </c>
      <c r="K98" s="189">
        <f t="shared" si="13"/>
        <v>1.7768051959142047E-2</v>
      </c>
    </row>
    <row r="99" spans="1:11" ht="42" hidden="1" customHeight="1" x14ac:dyDescent="0.2">
      <c r="A99" s="63" t="s">
        <v>110</v>
      </c>
      <c r="B99" s="124" t="s">
        <v>859</v>
      </c>
      <c r="C99" s="64" t="s">
        <v>111</v>
      </c>
      <c r="D99" s="125" t="s">
        <v>4</v>
      </c>
      <c r="E99" s="65">
        <f>56.5+28</f>
        <v>84.5</v>
      </c>
      <c r="F99" s="65">
        <v>82.01</v>
      </c>
      <c r="G99" s="65">
        <f t="shared" si="16"/>
        <v>6929.84</v>
      </c>
      <c r="H99" s="126">
        <f t="shared" si="14"/>
        <v>102.53</v>
      </c>
      <c r="I99" s="126">
        <f t="shared" si="17"/>
        <v>8664.3700000000008</v>
      </c>
      <c r="J99" s="70">
        <f>TRUNC(F99 * E99, 2)</f>
        <v>6929.84</v>
      </c>
      <c r="K99" s="189">
        <f t="shared" si="13"/>
        <v>1.7910496755581995E-3</v>
      </c>
    </row>
    <row r="100" spans="1:11" ht="28.5" hidden="1" customHeight="1" x14ac:dyDescent="0.2">
      <c r="A100" s="63" t="s">
        <v>112</v>
      </c>
      <c r="B100" s="124" t="s">
        <v>113</v>
      </c>
      <c r="C100" s="64" t="s">
        <v>114</v>
      </c>
      <c r="D100" s="125" t="s">
        <v>4</v>
      </c>
      <c r="E100" s="65">
        <f>203.15+50+50.75</f>
        <v>303.89999999999998</v>
      </c>
      <c r="F100" s="65">
        <v>65.400000000000006</v>
      </c>
      <c r="G100" s="65">
        <f t="shared" si="16"/>
        <v>19875.060000000001</v>
      </c>
      <c r="H100" s="126">
        <f t="shared" si="14"/>
        <v>81.760000000000005</v>
      </c>
      <c r="I100" s="126">
        <f t="shared" si="17"/>
        <v>24849.78</v>
      </c>
      <c r="J100" s="70">
        <f t="shared" ref="J100:J106" si="19">TRUNC(F100 * E100, 2)</f>
        <v>19875.060000000001</v>
      </c>
      <c r="K100" s="189">
        <f t="shared" si="13"/>
        <v>5.1368063005957304E-3</v>
      </c>
    </row>
    <row r="101" spans="1:11" ht="27.75" hidden="1" customHeight="1" x14ac:dyDescent="0.2">
      <c r="A101" s="63" t="s">
        <v>115</v>
      </c>
      <c r="B101" s="124" t="s">
        <v>860</v>
      </c>
      <c r="C101" s="64" t="s">
        <v>116</v>
      </c>
      <c r="D101" s="125" t="s">
        <v>4</v>
      </c>
      <c r="E101" s="65">
        <f>56.5+16+28</f>
        <v>100.5</v>
      </c>
      <c r="F101" s="65">
        <v>86.3</v>
      </c>
      <c r="G101" s="65">
        <f t="shared" si="16"/>
        <v>8673.15</v>
      </c>
      <c r="H101" s="126">
        <f t="shared" si="14"/>
        <v>107.9</v>
      </c>
      <c r="I101" s="126">
        <f t="shared" si="17"/>
        <v>10844.03</v>
      </c>
      <c r="J101" s="70">
        <f t="shared" si="19"/>
        <v>8673.15</v>
      </c>
      <c r="K101" s="189">
        <f t="shared" si="13"/>
        <v>2.2416166914897887E-3</v>
      </c>
    </row>
    <row r="102" spans="1:11" ht="16.5" hidden="1" customHeight="1" x14ac:dyDescent="0.2">
      <c r="A102" s="63" t="s">
        <v>117</v>
      </c>
      <c r="B102" s="124" t="s">
        <v>861</v>
      </c>
      <c r="C102" s="64" t="s">
        <v>118</v>
      </c>
      <c r="D102" s="125" t="s">
        <v>267</v>
      </c>
      <c r="E102" s="65">
        <f>28.2+10.5+14</f>
        <v>52.7</v>
      </c>
      <c r="F102" s="65">
        <v>36.22</v>
      </c>
      <c r="G102" s="65">
        <f t="shared" si="16"/>
        <v>1908.79</v>
      </c>
      <c r="H102" s="126">
        <f t="shared" si="14"/>
        <v>45.28</v>
      </c>
      <c r="I102" s="126">
        <f t="shared" si="17"/>
        <v>2386.56</v>
      </c>
      <c r="J102" s="70">
        <f t="shared" si="19"/>
        <v>1908.79</v>
      </c>
      <c r="K102" s="189">
        <f t="shared" si="13"/>
        <v>4.9333621644737883E-4</v>
      </c>
    </row>
    <row r="103" spans="1:11" ht="28.5" hidden="1" customHeight="1" x14ac:dyDescent="0.2">
      <c r="A103" s="63" t="s">
        <v>119</v>
      </c>
      <c r="B103" s="124" t="s">
        <v>862</v>
      </c>
      <c r="C103" s="64" t="s">
        <v>120</v>
      </c>
      <c r="D103" s="125" t="s">
        <v>4</v>
      </c>
      <c r="E103" s="65">
        <f>56.5+36+28</f>
        <v>120.5</v>
      </c>
      <c r="F103" s="65">
        <v>113.59</v>
      </c>
      <c r="G103" s="65">
        <f t="shared" si="16"/>
        <v>13687.59</v>
      </c>
      <c r="H103" s="126">
        <f t="shared" si="14"/>
        <v>142.02000000000001</v>
      </c>
      <c r="I103" s="126">
        <f t="shared" si="17"/>
        <v>17113.59</v>
      </c>
      <c r="J103" s="70">
        <f t="shared" si="19"/>
        <v>13687.59</v>
      </c>
      <c r="K103" s="189">
        <f t="shared" si="13"/>
        <v>3.5376247571532659E-3</v>
      </c>
    </row>
    <row r="104" spans="1:11" ht="31.5" hidden="1" customHeight="1" x14ac:dyDescent="0.2">
      <c r="A104" s="63" t="s">
        <v>121</v>
      </c>
      <c r="B104" s="124" t="s">
        <v>863</v>
      </c>
      <c r="C104" s="64" t="s">
        <v>122</v>
      </c>
      <c r="D104" s="125" t="s">
        <v>4</v>
      </c>
      <c r="E104" s="65">
        <f>16.95+5+8.4</f>
        <v>30.35</v>
      </c>
      <c r="F104" s="65">
        <v>199.24</v>
      </c>
      <c r="G104" s="65">
        <f t="shared" si="16"/>
        <v>6046.93</v>
      </c>
      <c r="H104" s="126">
        <f t="shared" si="14"/>
        <v>249.1</v>
      </c>
      <c r="I104" s="126">
        <f t="shared" si="17"/>
        <v>7560.47</v>
      </c>
      <c r="J104" s="70">
        <f t="shared" si="19"/>
        <v>6046.93</v>
      </c>
      <c r="K104" s="189">
        <f t="shared" si="13"/>
        <v>1.5628576965858452E-3</v>
      </c>
    </row>
    <row r="105" spans="1:11" ht="41.25" hidden="1" customHeight="1" x14ac:dyDescent="0.2">
      <c r="A105" s="63" t="s">
        <v>123</v>
      </c>
      <c r="B105" s="124" t="s">
        <v>864</v>
      </c>
      <c r="C105" s="64" t="s">
        <v>124</v>
      </c>
      <c r="D105" s="125" t="s">
        <v>267</v>
      </c>
      <c r="E105" s="65">
        <f>16.95+28.4</f>
        <v>45.349999999999994</v>
      </c>
      <c r="F105" s="65">
        <v>66.78</v>
      </c>
      <c r="G105" s="65">
        <f t="shared" si="16"/>
        <v>3028.47</v>
      </c>
      <c r="H105" s="126">
        <f t="shared" si="14"/>
        <v>83.49</v>
      </c>
      <c r="I105" s="126">
        <f t="shared" si="17"/>
        <v>3786.49</v>
      </c>
      <c r="J105" s="70">
        <f t="shared" si="19"/>
        <v>3028.47</v>
      </c>
      <c r="K105" s="189">
        <f t="shared" si="13"/>
        <v>7.8272184659754435E-4</v>
      </c>
    </row>
    <row r="106" spans="1:11" ht="30" hidden="1" customHeight="1" x14ac:dyDescent="0.2">
      <c r="A106" s="63" t="s">
        <v>125</v>
      </c>
      <c r="B106" s="124" t="s">
        <v>126</v>
      </c>
      <c r="C106" s="64" t="s">
        <v>127</v>
      </c>
      <c r="D106" s="125" t="s">
        <v>4</v>
      </c>
      <c r="E106" s="65">
        <f>28.2+17.8+14</f>
        <v>60</v>
      </c>
      <c r="F106" s="65">
        <v>143.29</v>
      </c>
      <c r="G106" s="65">
        <f t="shared" si="16"/>
        <v>8597.4</v>
      </c>
      <c r="H106" s="126">
        <f t="shared" si="14"/>
        <v>179.15</v>
      </c>
      <c r="I106" s="126">
        <f t="shared" si="17"/>
        <v>10749.32</v>
      </c>
      <c r="J106" s="70">
        <f t="shared" si="19"/>
        <v>8597.4</v>
      </c>
      <c r="K106" s="189">
        <f t="shared" si="13"/>
        <v>2.2220387747142909E-3</v>
      </c>
    </row>
    <row r="107" spans="1:11" x14ac:dyDescent="0.2">
      <c r="A107" s="127" t="s">
        <v>128</v>
      </c>
      <c r="B107" s="128"/>
      <c r="C107" s="66" t="s">
        <v>129</v>
      </c>
      <c r="D107" s="66"/>
      <c r="E107" s="141"/>
      <c r="F107" s="143">
        <f>F108+F110+F114+F123+F126+F130+F133</f>
        <v>14633.99</v>
      </c>
      <c r="G107" s="143">
        <f>G108+G110+G114+G123+G126+G130+G133</f>
        <v>362637.46</v>
      </c>
      <c r="H107" s="129">
        <f>H108+H110+H114+H123+H126+H130+H133</f>
        <v>18296.8</v>
      </c>
      <c r="I107" s="129">
        <f>I108+I110+I113+I114+I123+I126+I130+I133</f>
        <v>453405.54</v>
      </c>
      <c r="J107" s="75">
        <f>J108+J110+J113+J114+J123+J126+J130+J133</f>
        <v>362637.46</v>
      </c>
      <c r="K107" s="200">
        <f t="shared" si="13"/>
        <v>9.3725434776364594E-2</v>
      </c>
    </row>
    <row r="108" spans="1:11" x14ac:dyDescent="0.2">
      <c r="A108" s="127" t="s">
        <v>130</v>
      </c>
      <c r="B108" s="128"/>
      <c r="C108" s="66" t="s">
        <v>131</v>
      </c>
      <c r="D108" s="66"/>
      <c r="E108" s="141"/>
      <c r="F108" s="143">
        <f>F109</f>
        <v>194.74</v>
      </c>
      <c r="G108" s="143">
        <f>G109</f>
        <v>23768.01</v>
      </c>
      <c r="H108" s="129">
        <f>H109</f>
        <v>243.48</v>
      </c>
      <c r="I108" s="129">
        <f>I109</f>
        <v>29717.14</v>
      </c>
      <c r="J108" s="75">
        <f>J109</f>
        <v>23768.01</v>
      </c>
      <c r="K108" s="189">
        <f t="shared" si="13"/>
        <v>6.1429594945180766E-3</v>
      </c>
    </row>
    <row r="109" spans="1:11" ht="24" hidden="1" x14ac:dyDescent="0.2">
      <c r="A109" s="63" t="s">
        <v>132</v>
      </c>
      <c r="B109" s="124" t="s">
        <v>133</v>
      </c>
      <c r="C109" s="64" t="s">
        <v>134</v>
      </c>
      <c r="D109" s="125" t="s">
        <v>4</v>
      </c>
      <c r="E109" s="65">
        <f>84.65+15.4+22</f>
        <v>122.05000000000001</v>
      </c>
      <c r="F109" s="65">
        <v>194.74</v>
      </c>
      <c r="G109" s="65">
        <f t="shared" ref="G109:G135" si="20">TRUNC(E109*F109,2)</f>
        <v>23768.01</v>
      </c>
      <c r="H109" s="126">
        <f t="shared" si="14"/>
        <v>243.48</v>
      </c>
      <c r="I109" s="126">
        <f t="shared" ref="I109:I112" si="21">TRUNC(G109*(1+I$8),2)</f>
        <v>29717.14</v>
      </c>
      <c r="J109" s="70">
        <f>TRUNC(F109 * E109, 2)</f>
        <v>23768.01</v>
      </c>
      <c r="K109" s="189">
        <f>I109/I107</f>
        <v>6.5542075202698225E-2</v>
      </c>
    </row>
    <row r="110" spans="1:11" x14ac:dyDescent="0.2">
      <c r="A110" s="127" t="s">
        <v>135</v>
      </c>
      <c r="B110" s="128"/>
      <c r="C110" s="66" t="s">
        <v>136</v>
      </c>
      <c r="D110" s="66" t="s">
        <v>1217</v>
      </c>
      <c r="E110" s="141">
        <v>150</v>
      </c>
      <c r="F110" s="143">
        <f>F111+F112</f>
        <v>952.71</v>
      </c>
      <c r="G110" s="143">
        <f>G111+G112</f>
        <v>75696.08</v>
      </c>
      <c r="H110" s="129">
        <f>H111+H112</f>
        <v>1191.1599999999999</v>
      </c>
      <c r="I110" s="129">
        <f>SUM(I111:I112)</f>
        <v>94642.8</v>
      </c>
      <c r="J110" s="75">
        <f>SUM(J111:J112)</f>
        <v>75696.08</v>
      </c>
      <c r="K110" s="189">
        <f>I110/I107</f>
        <v>0.2087376347452658</v>
      </c>
    </row>
    <row r="111" spans="1:11" ht="42" customHeight="1" x14ac:dyDescent="0.2">
      <c r="A111" s="63" t="s">
        <v>137</v>
      </c>
      <c r="B111" s="124" t="s">
        <v>865</v>
      </c>
      <c r="C111" s="64" t="s">
        <v>138</v>
      </c>
      <c r="D111" s="125" t="s">
        <v>4</v>
      </c>
      <c r="E111" s="65">
        <f>28.2+7+44</f>
        <v>79.2</v>
      </c>
      <c r="F111" s="65">
        <v>650.89</v>
      </c>
      <c r="G111" s="65">
        <f t="shared" si="20"/>
        <v>51550.48</v>
      </c>
      <c r="H111" s="126">
        <f t="shared" si="14"/>
        <v>813.8</v>
      </c>
      <c r="I111" s="126">
        <f t="shared" si="21"/>
        <v>64453.56</v>
      </c>
      <c r="J111" s="70">
        <f>TRUNC(F111 * E111, 2)</f>
        <v>51550.48</v>
      </c>
      <c r="K111" s="201">
        <f>I111/I107</f>
        <v>0.14215432833043901</v>
      </c>
    </row>
    <row r="112" spans="1:11" ht="29.25" hidden="1" customHeight="1" x14ac:dyDescent="0.2">
      <c r="A112" s="63" t="s">
        <v>139</v>
      </c>
      <c r="B112" s="124" t="s">
        <v>140</v>
      </c>
      <c r="C112" s="64" t="s">
        <v>141</v>
      </c>
      <c r="D112" s="125" t="s">
        <v>4</v>
      </c>
      <c r="E112" s="65">
        <f>22.6+26.2+31.2</f>
        <v>80</v>
      </c>
      <c r="F112" s="65">
        <v>301.82</v>
      </c>
      <c r="G112" s="65">
        <f t="shared" si="20"/>
        <v>24145.599999999999</v>
      </c>
      <c r="H112" s="126">
        <f t="shared" si="14"/>
        <v>377.36</v>
      </c>
      <c r="I112" s="126">
        <f t="shared" si="21"/>
        <v>30189.24</v>
      </c>
      <c r="J112" s="70">
        <f>TRUNC(F112 * E112, 2)</f>
        <v>24145.599999999999</v>
      </c>
      <c r="K112" s="189">
        <f>I112/I107</f>
        <v>6.6583306414826793E-2</v>
      </c>
    </row>
    <row r="113" spans="1:11" ht="25.5" x14ac:dyDescent="0.2">
      <c r="A113" s="127" t="s">
        <v>142</v>
      </c>
      <c r="B113" s="128"/>
      <c r="C113" s="66" t="s">
        <v>143</v>
      </c>
      <c r="D113" s="66"/>
      <c r="E113" s="141"/>
      <c r="F113" s="142"/>
      <c r="G113" s="141">
        <f t="shared" si="20"/>
        <v>0</v>
      </c>
      <c r="H113" s="202">
        <f t="shared" si="14"/>
        <v>0</v>
      </c>
      <c r="I113" s="129">
        <v>0</v>
      </c>
      <c r="J113" s="75">
        <v>0</v>
      </c>
      <c r="K113" s="189">
        <f t="shared" si="13"/>
        <v>0</v>
      </c>
    </row>
    <row r="114" spans="1:11" x14ac:dyDescent="0.2">
      <c r="A114" s="127" t="s">
        <v>1031</v>
      </c>
      <c r="B114" s="128"/>
      <c r="C114" s="66" t="s">
        <v>144</v>
      </c>
      <c r="D114" s="66"/>
      <c r="E114" s="141"/>
      <c r="F114" s="143">
        <f>SUM(F115:F122)</f>
        <v>5958.67</v>
      </c>
      <c r="G114" s="143">
        <f>SUM(G115:G122)</f>
        <v>97698.260000000009</v>
      </c>
      <c r="H114" s="129">
        <f>SUM(H115:H122)</f>
        <v>7450.0899999999992</v>
      </c>
      <c r="I114" s="129">
        <f>SUM(I115:I122)</f>
        <v>122152.10999999999</v>
      </c>
      <c r="J114" s="75">
        <f>SUM(J115:J122)</f>
        <v>97698.260000000009</v>
      </c>
      <c r="K114" s="189">
        <f t="shared" si="13"/>
        <v>2.5250594905832674E-2</v>
      </c>
    </row>
    <row r="115" spans="1:11" ht="29.25" hidden="1" customHeight="1" x14ac:dyDescent="0.2">
      <c r="A115" s="63" t="s">
        <v>1032</v>
      </c>
      <c r="B115" s="124" t="s">
        <v>146</v>
      </c>
      <c r="C115" s="64" t="s">
        <v>147</v>
      </c>
      <c r="D115" s="125" t="s">
        <v>168</v>
      </c>
      <c r="E115" s="65">
        <f>46+13+23</f>
        <v>82</v>
      </c>
      <c r="F115" s="65">
        <v>423.7</v>
      </c>
      <c r="G115" s="65">
        <f t="shared" si="20"/>
        <v>34743.4</v>
      </c>
      <c r="H115" s="126">
        <f t="shared" si="14"/>
        <v>529.75</v>
      </c>
      <c r="I115" s="126">
        <f t="shared" ref="I115:I135" si="22">TRUNC(G115*(1+I$8),2)</f>
        <v>43439.67</v>
      </c>
      <c r="J115" s="70">
        <f>TRUNC(F115* E115, 2)</f>
        <v>34743.4</v>
      </c>
      <c r="K115" s="189">
        <f t="shared" si="13"/>
        <v>8.979603463362627E-3</v>
      </c>
    </row>
    <row r="116" spans="1:11" ht="42" hidden="1" customHeight="1" x14ac:dyDescent="0.2">
      <c r="A116" s="63" t="s">
        <v>1033</v>
      </c>
      <c r="B116" s="124" t="s">
        <v>148</v>
      </c>
      <c r="C116" s="64" t="s">
        <v>149</v>
      </c>
      <c r="D116" s="125" t="s">
        <v>168</v>
      </c>
      <c r="E116" s="65">
        <f>9+3+5</f>
        <v>17</v>
      </c>
      <c r="F116" s="65">
        <v>1109.6199999999999</v>
      </c>
      <c r="G116" s="65">
        <f t="shared" si="20"/>
        <v>18863.54</v>
      </c>
      <c r="H116" s="126">
        <f t="shared" si="14"/>
        <v>1387.35</v>
      </c>
      <c r="I116" s="126">
        <f t="shared" si="22"/>
        <v>23585.08</v>
      </c>
      <c r="J116" s="70">
        <f t="shared" ref="J116:J122" si="23">TRUNC(F116* E116, 2)</f>
        <v>18863.54</v>
      </c>
      <c r="K116" s="189">
        <f t="shared" si="13"/>
        <v>4.8753746529769824E-3</v>
      </c>
    </row>
    <row r="117" spans="1:11" ht="27.75" hidden="1" customHeight="1" x14ac:dyDescent="0.2">
      <c r="A117" s="63" t="s">
        <v>1034</v>
      </c>
      <c r="B117" s="124" t="s">
        <v>150</v>
      </c>
      <c r="C117" s="64" t="s">
        <v>151</v>
      </c>
      <c r="D117" s="125" t="s">
        <v>168</v>
      </c>
      <c r="E117" s="65">
        <f>17+5+9</f>
        <v>31</v>
      </c>
      <c r="F117" s="65">
        <v>327.85</v>
      </c>
      <c r="G117" s="65">
        <f t="shared" si="20"/>
        <v>10163.35</v>
      </c>
      <c r="H117" s="126">
        <f t="shared" si="14"/>
        <v>409.91</v>
      </c>
      <c r="I117" s="126">
        <f t="shared" si="22"/>
        <v>12707.23</v>
      </c>
      <c r="J117" s="70">
        <f t="shared" si="23"/>
        <v>10163.35</v>
      </c>
      <c r="K117" s="189">
        <f t="shared" si="13"/>
        <v>2.6267668819248734E-3</v>
      </c>
    </row>
    <row r="118" spans="1:11" ht="28.5" hidden="1" customHeight="1" x14ac:dyDescent="0.2">
      <c r="A118" s="63" t="s">
        <v>1035</v>
      </c>
      <c r="B118" s="124" t="s">
        <v>152</v>
      </c>
      <c r="C118" s="64" t="s">
        <v>153</v>
      </c>
      <c r="D118" s="125" t="s">
        <v>168</v>
      </c>
      <c r="E118" s="65">
        <f>4+2+2</f>
        <v>8</v>
      </c>
      <c r="F118" s="65">
        <v>300.73</v>
      </c>
      <c r="G118" s="65">
        <f t="shared" si="20"/>
        <v>2405.84</v>
      </c>
      <c r="H118" s="126">
        <f t="shared" si="14"/>
        <v>376</v>
      </c>
      <c r="I118" s="126">
        <f t="shared" si="22"/>
        <v>3008.02</v>
      </c>
      <c r="J118" s="70">
        <f t="shared" si="23"/>
        <v>2405.84</v>
      </c>
      <c r="K118" s="189">
        <f t="shared" si="13"/>
        <v>6.2180092090626026E-4</v>
      </c>
    </row>
    <row r="119" spans="1:11" ht="27" hidden="1" customHeight="1" x14ac:dyDescent="0.2">
      <c r="A119" s="63" t="s">
        <v>1036</v>
      </c>
      <c r="B119" s="124" t="s">
        <v>154</v>
      </c>
      <c r="C119" s="64" t="s">
        <v>155</v>
      </c>
      <c r="D119" s="125" t="s">
        <v>168</v>
      </c>
      <c r="E119" s="65">
        <f>3+2+2</f>
        <v>7</v>
      </c>
      <c r="F119" s="65">
        <v>294.51</v>
      </c>
      <c r="G119" s="65">
        <f t="shared" si="20"/>
        <v>2061.5700000000002</v>
      </c>
      <c r="H119" s="126">
        <f t="shared" si="14"/>
        <v>368.22</v>
      </c>
      <c r="I119" s="126">
        <f t="shared" si="22"/>
        <v>2577.58</v>
      </c>
      <c r="J119" s="70">
        <f t="shared" si="23"/>
        <v>2061.5700000000002</v>
      </c>
      <c r="K119" s="189">
        <f t="shared" si="13"/>
        <v>5.3282279296997968E-4</v>
      </c>
    </row>
    <row r="120" spans="1:11" ht="30" hidden="1" customHeight="1" x14ac:dyDescent="0.2">
      <c r="A120" s="63" t="s">
        <v>1037</v>
      </c>
      <c r="B120" s="124" t="s">
        <v>156</v>
      </c>
      <c r="C120" s="64" t="s">
        <v>157</v>
      </c>
      <c r="D120" s="125" t="s">
        <v>168</v>
      </c>
      <c r="E120" s="65">
        <f>3+2+2</f>
        <v>7</v>
      </c>
      <c r="F120" s="65">
        <v>1029.8900000000001</v>
      </c>
      <c r="G120" s="65">
        <f t="shared" si="20"/>
        <v>7209.23</v>
      </c>
      <c r="H120" s="126">
        <f t="shared" si="14"/>
        <v>1287.67</v>
      </c>
      <c r="I120" s="126">
        <f t="shared" si="22"/>
        <v>9013.7000000000007</v>
      </c>
      <c r="J120" s="70">
        <f t="shared" si="23"/>
        <v>7209.23</v>
      </c>
      <c r="K120" s="189">
        <f t="shared" si="13"/>
        <v>1.8632612019776327E-3</v>
      </c>
    </row>
    <row r="121" spans="1:11" ht="27" hidden="1" customHeight="1" x14ac:dyDescent="0.2">
      <c r="A121" s="63" t="s">
        <v>1038</v>
      </c>
      <c r="B121" s="124" t="s">
        <v>158</v>
      </c>
      <c r="C121" s="64" t="s">
        <v>159</v>
      </c>
      <c r="D121" s="125" t="s">
        <v>168</v>
      </c>
      <c r="E121" s="65">
        <f>3+4+2</f>
        <v>9</v>
      </c>
      <c r="F121" s="65">
        <v>1167.42</v>
      </c>
      <c r="G121" s="65">
        <f t="shared" si="20"/>
        <v>10506.78</v>
      </c>
      <c r="H121" s="126">
        <f t="shared" si="14"/>
        <v>1459.62</v>
      </c>
      <c r="I121" s="126">
        <f t="shared" si="22"/>
        <v>13136.62</v>
      </c>
      <c r="J121" s="70">
        <f t="shared" si="23"/>
        <v>10506.78</v>
      </c>
      <c r="K121" s="189">
        <f t="shared" si="13"/>
        <v>2.7155279597860381E-3</v>
      </c>
    </row>
    <row r="122" spans="1:11" ht="28.5" hidden="1" customHeight="1" x14ac:dyDescent="0.2">
      <c r="A122" s="63" t="s">
        <v>1039</v>
      </c>
      <c r="B122" s="124" t="s">
        <v>160</v>
      </c>
      <c r="C122" s="64" t="s">
        <v>161</v>
      </c>
      <c r="D122" s="125" t="s">
        <v>168</v>
      </c>
      <c r="E122" s="65">
        <f>3+4+2</f>
        <v>9</v>
      </c>
      <c r="F122" s="65">
        <v>1304.95</v>
      </c>
      <c r="G122" s="65">
        <f t="shared" si="20"/>
        <v>11744.55</v>
      </c>
      <c r="H122" s="126">
        <f t="shared" si="14"/>
        <v>1631.57</v>
      </c>
      <c r="I122" s="126">
        <f t="shared" si="22"/>
        <v>14684.21</v>
      </c>
      <c r="J122" s="70">
        <f t="shared" si="23"/>
        <v>11744.55</v>
      </c>
      <c r="K122" s="189">
        <f t="shared" si="13"/>
        <v>3.0354370319282836E-3</v>
      </c>
    </row>
    <row r="123" spans="1:11" x14ac:dyDescent="0.2">
      <c r="A123" s="127" t="s">
        <v>1040</v>
      </c>
      <c r="B123" s="128"/>
      <c r="C123" s="66" t="s">
        <v>163</v>
      </c>
      <c r="D123" s="66"/>
      <c r="E123" s="141"/>
      <c r="F123" s="143">
        <f>F124+F125</f>
        <v>3458.02</v>
      </c>
      <c r="G123" s="143">
        <f>G124+G125</f>
        <v>67095.45</v>
      </c>
      <c r="H123" s="129">
        <f>H124+H125</f>
        <v>4323.55</v>
      </c>
      <c r="I123" s="129">
        <f>SUM(I124:I125)</f>
        <v>83889.43</v>
      </c>
      <c r="J123" s="75">
        <f>SUM(J124:J125)</f>
        <v>67095.45</v>
      </c>
      <c r="K123" s="189">
        <f t="shared" si="13"/>
        <v>1.7341149602828856E-2</v>
      </c>
    </row>
    <row r="124" spans="1:11" ht="19.5" hidden="1" customHeight="1" x14ac:dyDescent="0.2">
      <c r="A124" s="63" t="s">
        <v>145</v>
      </c>
      <c r="B124" s="124" t="s">
        <v>866</v>
      </c>
      <c r="C124" s="64" t="s">
        <v>165</v>
      </c>
      <c r="D124" s="125" t="s">
        <v>4</v>
      </c>
      <c r="E124" s="65">
        <f>28.2+13.6+14</f>
        <v>55.8</v>
      </c>
      <c r="F124" s="65">
        <v>709.94</v>
      </c>
      <c r="G124" s="65">
        <f t="shared" si="20"/>
        <v>39614.65</v>
      </c>
      <c r="H124" s="126">
        <f t="shared" si="14"/>
        <v>887.63</v>
      </c>
      <c r="I124" s="126">
        <f t="shared" si="22"/>
        <v>49530.19</v>
      </c>
      <c r="J124" s="70">
        <f>TRUNC(F124 * E124, 2)</f>
        <v>39614.65</v>
      </c>
      <c r="K124" s="189">
        <f t="shared" si="13"/>
        <v>1.0238601390503404E-2</v>
      </c>
    </row>
    <row r="125" spans="1:11" ht="69" hidden="1" customHeight="1" x14ac:dyDescent="0.2">
      <c r="A125" s="63" t="s">
        <v>1041</v>
      </c>
      <c r="B125" s="130" t="s">
        <v>166</v>
      </c>
      <c r="C125" s="64" t="s">
        <v>167</v>
      </c>
      <c r="D125" s="125" t="s">
        <v>168</v>
      </c>
      <c r="E125" s="65">
        <f>4+3+3</f>
        <v>10</v>
      </c>
      <c r="F125" s="65">
        <v>2748.08</v>
      </c>
      <c r="G125" s="65">
        <f t="shared" si="20"/>
        <v>27480.799999999999</v>
      </c>
      <c r="H125" s="126">
        <f t="shared" si="14"/>
        <v>3435.92</v>
      </c>
      <c r="I125" s="126">
        <f t="shared" si="22"/>
        <v>34359.24</v>
      </c>
      <c r="J125" s="70">
        <f>TRUNC(F125 * E125, 2)</f>
        <v>27480.799999999999</v>
      </c>
      <c r="K125" s="189">
        <f t="shared" si="13"/>
        <v>7.1025482123254543E-3</v>
      </c>
    </row>
    <row r="126" spans="1:11" x14ac:dyDescent="0.2">
      <c r="A126" s="127" t="s">
        <v>162</v>
      </c>
      <c r="B126" s="131"/>
      <c r="C126" s="66" t="s">
        <v>169</v>
      </c>
      <c r="D126" s="66"/>
      <c r="E126" s="141"/>
      <c r="F126" s="143">
        <f>F127+F128+F129</f>
        <v>944.24</v>
      </c>
      <c r="G126" s="143">
        <f>G127+G128+G129</f>
        <v>40894.570000000007</v>
      </c>
      <c r="H126" s="129">
        <f>H127+H128+H129</f>
        <v>1180.58</v>
      </c>
      <c r="I126" s="129">
        <f>SUM(I127:I129)</f>
        <v>51130.47</v>
      </c>
      <c r="J126" s="75">
        <f>SUM(J127:J129)</f>
        <v>40894.570000000007</v>
      </c>
      <c r="K126" s="189">
        <f t="shared" si="13"/>
        <v>1.0569402242129346E-2</v>
      </c>
    </row>
    <row r="127" spans="1:11" ht="66.75" hidden="1" customHeight="1" x14ac:dyDescent="0.2">
      <c r="A127" s="63" t="s">
        <v>164</v>
      </c>
      <c r="B127" s="130" t="s">
        <v>171</v>
      </c>
      <c r="C127" s="64" t="s">
        <v>172</v>
      </c>
      <c r="D127" s="125" t="s">
        <v>4</v>
      </c>
      <c r="E127" s="65">
        <f>8.5+22.34+8.4</f>
        <v>39.24</v>
      </c>
      <c r="F127" s="65">
        <v>341.95</v>
      </c>
      <c r="G127" s="65">
        <f t="shared" si="20"/>
        <v>13418.11</v>
      </c>
      <c r="H127" s="126">
        <f t="shared" si="14"/>
        <v>427.54</v>
      </c>
      <c r="I127" s="126">
        <f t="shared" si="22"/>
        <v>16776.66</v>
      </c>
      <c r="J127" s="70">
        <f>TRUNC(F127 * E127, 2)</f>
        <v>13418.11</v>
      </c>
      <c r="K127" s="189">
        <f t="shared" si="13"/>
        <v>3.4679764887637784E-3</v>
      </c>
    </row>
    <row r="128" spans="1:11" ht="56.25" hidden="1" customHeight="1" x14ac:dyDescent="0.2">
      <c r="A128" s="63" t="s">
        <v>1042</v>
      </c>
      <c r="B128" s="130" t="s">
        <v>173</v>
      </c>
      <c r="C128" s="64" t="s">
        <v>174</v>
      </c>
      <c r="D128" s="125" t="s">
        <v>4</v>
      </c>
      <c r="E128" s="65">
        <f>11.3+23.12+11.2</f>
        <v>45.620000000000005</v>
      </c>
      <c r="F128" s="65">
        <v>262.17</v>
      </c>
      <c r="G128" s="65">
        <f t="shared" si="20"/>
        <v>11960.19</v>
      </c>
      <c r="H128" s="126">
        <f t="shared" si="14"/>
        <v>327.79</v>
      </c>
      <c r="I128" s="126">
        <f t="shared" si="22"/>
        <v>14953.82</v>
      </c>
      <c r="J128" s="70">
        <f>TRUNC(F128 * E128, 2)</f>
        <v>11960.19</v>
      </c>
      <c r="K128" s="189">
        <f t="shared" si="13"/>
        <v>3.0911692897874527E-3</v>
      </c>
    </row>
    <row r="129" spans="1:11" ht="27.75" hidden="1" customHeight="1" x14ac:dyDescent="0.2">
      <c r="A129" s="63" t="s">
        <v>1043</v>
      </c>
      <c r="B129" s="130" t="s">
        <v>175</v>
      </c>
      <c r="C129" s="64" t="s">
        <v>176</v>
      </c>
      <c r="D129" s="125" t="s">
        <v>4</v>
      </c>
      <c r="E129" s="65">
        <f>11.3+23.12+11.2</f>
        <v>45.620000000000005</v>
      </c>
      <c r="F129" s="65">
        <v>340.12</v>
      </c>
      <c r="G129" s="65">
        <f t="shared" si="20"/>
        <v>15516.27</v>
      </c>
      <c r="H129" s="126">
        <f t="shared" si="14"/>
        <v>425.25</v>
      </c>
      <c r="I129" s="126">
        <f t="shared" si="22"/>
        <v>19399.990000000002</v>
      </c>
      <c r="J129" s="70">
        <f>TRUNC(F129 * E129, 2)</f>
        <v>15516.27</v>
      </c>
      <c r="K129" s="189">
        <f t="shared" si="13"/>
        <v>4.0102564635781154E-3</v>
      </c>
    </row>
    <row r="130" spans="1:11" x14ac:dyDescent="0.2">
      <c r="A130" s="127" t="s">
        <v>1044</v>
      </c>
      <c r="B130" s="128"/>
      <c r="C130" s="66" t="s">
        <v>177</v>
      </c>
      <c r="D130" s="66"/>
      <c r="E130" s="141"/>
      <c r="F130" s="143">
        <f>F131+F132</f>
        <v>1569.75</v>
      </c>
      <c r="G130" s="143">
        <f>G131+G132</f>
        <v>16960.440000000002</v>
      </c>
      <c r="H130" s="129">
        <f>H131+H132</f>
        <v>1962.65</v>
      </c>
      <c r="I130" s="129">
        <f>SUM(I131:I132)</f>
        <v>21205.63</v>
      </c>
      <c r="J130" s="75">
        <f>SUM(J131:J132)</f>
        <v>16960.440000000002</v>
      </c>
      <c r="K130" s="189">
        <f t="shared" si="13"/>
        <v>4.3835081756096773E-3</v>
      </c>
    </row>
    <row r="131" spans="1:11" ht="29.25" hidden="1" customHeight="1" x14ac:dyDescent="0.2">
      <c r="A131" s="63" t="s">
        <v>170</v>
      </c>
      <c r="B131" s="124" t="s">
        <v>179</v>
      </c>
      <c r="C131" s="64" t="s">
        <v>180</v>
      </c>
      <c r="D131" s="125" t="s">
        <v>168</v>
      </c>
      <c r="E131" s="65">
        <f>6+3+5</f>
        <v>14</v>
      </c>
      <c r="F131" s="65">
        <v>733.74</v>
      </c>
      <c r="G131" s="65">
        <f t="shared" si="20"/>
        <v>10272.36</v>
      </c>
      <c r="H131" s="126">
        <f t="shared" si="14"/>
        <v>917.39</v>
      </c>
      <c r="I131" s="126">
        <f t="shared" si="22"/>
        <v>12843.53</v>
      </c>
      <c r="J131" s="70">
        <f>TRUNC(F131* E131, 2)</f>
        <v>10272.36</v>
      </c>
      <c r="K131" s="189">
        <f t="shared" si="13"/>
        <v>2.6549420488185525E-3</v>
      </c>
    </row>
    <row r="132" spans="1:11" ht="42.75" hidden="1" customHeight="1" x14ac:dyDescent="0.2">
      <c r="A132" s="63" t="s">
        <v>1045</v>
      </c>
      <c r="B132" s="124" t="s">
        <v>181</v>
      </c>
      <c r="C132" s="64" t="s">
        <v>182</v>
      </c>
      <c r="D132" s="125" t="s">
        <v>168</v>
      </c>
      <c r="E132" s="65">
        <f>3+2+3</f>
        <v>8</v>
      </c>
      <c r="F132" s="65">
        <v>836.01</v>
      </c>
      <c r="G132" s="65">
        <f t="shared" si="20"/>
        <v>6688.08</v>
      </c>
      <c r="H132" s="126">
        <f t="shared" si="14"/>
        <v>1045.26</v>
      </c>
      <c r="I132" s="126">
        <f t="shared" si="22"/>
        <v>8362.1</v>
      </c>
      <c r="J132" s="70">
        <f>TRUNC(F132 * E132, 2)</f>
        <v>6688.08</v>
      </c>
      <c r="K132" s="189">
        <f t="shared" si="13"/>
        <v>1.7285661267911249E-3</v>
      </c>
    </row>
    <row r="133" spans="1:11" x14ac:dyDescent="0.2">
      <c r="A133" s="127" t="s">
        <v>1046</v>
      </c>
      <c r="B133" s="128"/>
      <c r="C133" s="66" t="s">
        <v>183</v>
      </c>
      <c r="D133" s="66"/>
      <c r="E133" s="141"/>
      <c r="F133" s="143">
        <f>F134+F135</f>
        <v>1555.8600000000001</v>
      </c>
      <c r="G133" s="143">
        <f>G134+G135</f>
        <v>40524.65</v>
      </c>
      <c r="H133" s="129">
        <f>H134+H135</f>
        <v>1945.29</v>
      </c>
      <c r="I133" s="129">
        <f>SUM(I134:I135)</f>
        <v>50667.96</v>
      </c>
      <c r="J133" s="75">
        <f>SUM(J134:J135)</f>
        <v>40524.65</v>
      </c>
      <c r="K133" s="189">
        <f t="shared" si="13"/>
        <v>1.0473794784755939E-2</v>
      </c>
    </row>
    <row r="134" spans="1:11" ht="18.75" hidden="1" customHeight="1" x14ac:dyDescent="0.2">
      <c r="A134" s="63" t="s">
        <v>178</v>
      </c>
      <c r="B134" s="124" t="s">
        <v>184</v>
      </c>
      <c r="C134" s="64" t="s">
        <v>185</v>
      </c>
      <c r="D134" s="125" t="s">
        <v>168</v>
      </c>
      <c r="E134" s="65">
        <f>4+4+2</f>
        <v>10</v>
      </c>
      <c r="F134" s="65">
        <v>800</v>
      </c>
      <c r="G134" s="65">
        <f t="shared" si="20"/>
        <v>8000</v>
      </c>
      <c r="H134" s="126">
        <f t="shared" si="14"/>
        <v>1000.24</v>
      </c>
      <c r="I134" s="126">
        <f t="shared" si="22"/>
        <v>10002.4</v>
      </c>
      <c r="J134" s="70">
        <f>TRUNC(F134* E134, 2)</f>
        <v>8000</v>
      </c>
      <c r="K134" s="189">
        <f t="shared" si="13"/>
        <v>2.0676396869943612E-3</v>
      </c>
    </row>
    <row r="135" spans="1:11" ht="30" hidden="1" customHeight="1" x14ac:dyDescent="0.2">
      <c r="A135" s="63" t="s">
        <v>1047</v>
      </c>
      <c r="B135" s="124" t="s">
        <v>186</v>
      </c>
      <c r="C135" s="64" t="s">
        <v>187</v>
      </c>
      <c r="D135" s="125" t="s">
        <v>4</v>
      </c>
      <c r="E135" s="65">
        <f>16.95+7.68+18.4</f>
        <v>43.03</v>
      </c>
      <c r="F135" s="65">
        <v>755.86</v>
      </c>
      <c r="G135" s="65">
        <f t="shared" si="20"/>
        <v>32524.65</v>
      </c>
      <c r="H135" s="126">
        <f t="shared" si="14"/>
        <v>945.05</v>
      </c>
      <c r="I135" s="126">
        <f t="shared" si="22"/>
        <v>40665.56</v>
      </c>
      <c r="J135" s="70">
        <f>TRUNC(F135* E135, 2)</f>
        <v>32524.65</v>
      </c>
      <c r="K135" s="189">
        <f t="shared" si="13"/>
        <v>8.4061550977615786E-3</v>
      </c>
    </row>
    <row r="136" spans="1:11" x14ac:dyDescent="0.2">
      <c r="A136" s="127" t="s">
        <v>188</v>
      </c>
      <c r="B136" s="128"/>
      <c r="C136" s="66" t="s">
        <v>189</v>
      </c>
      <c r="D136" s="66"/>
      <c r="E136" s="141"/>
      <c r="F136" s="143">
        <f>F137+F145+F148</f>
        <v>2563.71</v>
      </c>
      <c r="G136" s="143">
        <f>G137+G145+G148</f>
        <v>92720.44</v>
      </c>
      <c r="H136" s="129">
        <f>H137+H145+H148</f>
        <v>3205.3300000000004</v>
      </c>
      <c r="I136" s="129">
        <f>I137+I145+I148</f>
        <v>115928.31999999999</v>
      </c>
      <c r="J136" s="75">
        <f>J137+J145+J148</f>
        <v>92720.44</v>
      </c>
      <c r="K136" s="189">
        <f t="shared" si="13"/>
        <v>2.39640481563007E-2</v>
      </c>
    </row>
    <row r="137" spans="1:11" ht="25.5" x14ac:dyDescent="0.2">
      <c r="A137" s="127" t="s">
        <v>190</v>
      </c>
      <c r="B137" s="128"/>
      <c r="C137" s="66" t="s">
        <v>191</v>
      </c>
      <c r="D137" s="66"/>
      <c r="E137" s="141"/>
      <c r="F137" s="143">
        <f>SUM(F138:F144)</f>
        <v>2106.64</v>
      </c>
      <c r="G137" s="143">
        <f>G138+G139+G140+G141+G142+G143+G144</f>
        <v>69894.209999999992</v>
      </c>
      <c r="H137" s="129">
        <f>SUM(H138:H144)</f>
        <v>2633.88</v>
      </c>
      <c r="I137" s="129">
        <f>SUM(I138:I144)</f>
        <v>87388.7</v>
      </c>
      <c r="J137" s="75">
        <f>SUM(J138:J144)</f>
        <v>69894.209999999992</v>
      </c>
      <c r="K137" s="189">
        <f t="shared" si="13"/>
        <v>1.8064498951735994E-2</v>
      </c>
    </row>
    <row r="138" spans="1:11" ht="28.5" hidden="1" customHeight="1" x14ac:dyDescent="0.2">
      <c r="A138" s="63" t="s">
        <v>192</v>
      </c>
      <c r="B138" s="124" t="s">
        <v>867</v>
      </c>
      <c r="C138" s="64" t="s">
        <v>193</v>
      </c>
      <c r="D138" s="125" t="s">
        <v>168</v>
      </c>
      <c r="E138" s="65">
        <f>113+64+76</f>
        <v>253</v>
      </c>
      <c r="F138" s="65">
        <v>155.25</v>
      </c>
      <c r="G138" s="65">
        <f t="shared" ref="G138:G157" si="24">TRUNC(E138*F138,2)</f>
        <v>39278.25</v>
      </c>
      <c r="H138" s="126">
        <f t="shared" si="14"/>
        <v>194.1</v>
      </c>
      <c r="I138" s="126">
        <f t="shared" ref="I138:I157" si="25">TRUNC(G138*(1+I$8),2)</f>
        <v>49109.59</v>
      </c>
      <c r="J138" s="70">
        <f>TRUNC(F138 * E138, 2)</f>
        <v>39278.25</v>
      </c>
      <c r="K138" s="189">
        <f t="shared" si="13"/>
        <v>1.0151657331842498E-2</v>
      </c>
    </row>
    <row r="139" spans="1:11" ht="28.5" hidden="1" customHeight="1" x14ac:dyDescent="0.2">
      <c r="A139" s="63" t="s">
        <v>194</v>
      </c>
      <c r="B139" s="124" t="s">
        <v>868</v>
      </c>
      <c r="C139" s="64" t="s">
        <v>195</v>
      </c>
      <c r="D139" s="125" t="s">
        <v>168</v>
      </c>
      <c r="E139" s="65">
        <f>12+12+6</f>
        <v>30</v>
      </c>
      <c r="F139" s="65">
        <v>176.02</v>
      </c>
      <c r="G139" s="65">
        <f t="shared" si="24"/>
        <v>5280.6</v>
      </c>
      <c r="H139" s="126">
        <f t="shared" si="14"/>
        <v>220.07</v>
      </c>
      <c r="I139" s="126">
        <f t="shared" si="25"/>
        <v>6602.33</v>
      </c>
      <c r="J139" s="70">
        <f t="shared" ref="J139:J144" si="26">TRUNC(F139 * E139, 2)</f>
        <v>5280.6</v>
      </c>
      <c r="K139" s="189">
        <f t="shared" si="13"/>
        <v>1.3647964023267897E-3</v>
      </c>
    </row>
    <row r="140" spans="1:11" ht="16.5" hidden="1" customHeight="1" x14ac:dyDescent="0.2">
      <c r="A140" s="63" t="s">
        <v>196</v>
      </c>
      <c r="B140" s="124" t="s">
        <v>869</v>
      </c>
      <c r="C140" s="64" t="s">
        <v>197</v>
      </c>
      <c r="D140" s="125" t="s">
        <v>168</v>
      </c>
      <c r="E140" s="65">
        <f>29+24+14</f>
        <v>67</v>
      </c>
      <c r="F140" s="65">
        <v>53.33</v>
      </c>
      <c r="G140" s="65">
        <f t="shared" si="24"/>
        <v>3573.11</v>
      </c>
      <c r="H140" s="126">
        <f t="shared" si="14"/>
        <v>66.67</v>
      </c>
      <c r="I140" s="126">
        <f t="shared" si="25"/>
        <v>4467.45</v>
      </c>
      <c r="J140" s="70">
        <f t="shared" si="26"/>
        <v>3573.11</v>
      </c>
      <c r="K140" s="189">
        <f t="shared" ref="K140:K203" si="27">I140/$I$431</f>
        <v>9.2348605531302071E-4</v>
      </c>
    </row>
    <row r="141" spans="1:11" ht="16.5" hidden="1" customHeight="1" x14ac:dyDescent="0.2">
      <c r="A141" s="63" t="s">
        <v>198</v>
      </c>
      <c r="B141" s="124" t="s">
        <v>870</v>
      </c>
      <c r="C141" s="64" t="s">
        <v>199</v>
      </c>
      <c r="D141" s="125" t="s">
        <v>168</v>
      </c>
      <c r="E141" s="65">
        <f>6+6+5</f>
        <v>17</v>
      </c>
      <c r="F141" s="65">
        <v>27.02</v>
      </c>
      <c r="G141" s="65">
        <f t="shared" si="24"/>
        <v>459.34</v>
      </c>
      <c r="H141" s="126">
        <f t="shared" si="14"/>
        <v>33.78</v>
      </c>
      <c r="I141" s="126">
        <f t="shared" si="25"/>
        <v>574.30999999999995</v>
      </c>
      <c r="J141" s="70">
        <f t="shared" si="26"/>
        <v>459.34</v>
      </c>
      <c r="K141" s="189">
        <f t="shared" si="27"/>
        <v>1.1871812251436969E-4</v>
      </c>
    </row>
    <row r="142" spans="1:11" ht="16.5" hidden="1" customHeight="1" x14ac:dyDescent="0.2">
      <c r="A142" s="63" t="s">
        <v>200</v>
      </c>
      <c r="B142" s="124" t="s">
        <v>1061</v>
      </c>
      <c r="C142" s="64" t="s">
        <v>201</v>
      </c>
      <c r="D142" s="125" t="s">
        <v>168</v>
      </c>
      <c r="E142" s="65">
        <f>6+6+3</f>
        <v>15</v>
      </c>
      <c r="F142" s="65">
        <v>320.89</v>
      </c>
      <c r="G142" s="65">
        <f t="shared" si="24"/>
        <v>4813.3500000000004</v>
      </c>
      <c r="H142" s="126">
        <f t="shared" ref="H142:H205" si="28">TRUNC(F142*(1+I$8),2)</f>
        <v>401.2</v>
      </c>
      <c r="I142" s="126">
        <f t="shared" si="25"/>
        <v>6018.13</v>
      </c>
      <c r="J142" s="70">
        <f t="shared" si="26"/>
        <v>4813.3500000000004</v>
      </c>
      <c r="K142" s="189">
        <f t="shared" si="27"/>
        <v>1.2440338748191809E-3</v>
      </c>
    </row>
    <row r="143" spans="1:11" ht="42.75" hidden="1" customHeight="1" x14ac:dyDescent="0.2">
      <c r="A143" s="63" t="s">
        <v>202</v>
      </c>
      <c r="B143" s="124" t="s">
        <v>871</v>
      </c>
      <c r="C143" s="64" t="s">
        <v>203</v>
      </c>
      <c r="D143" s="125" t="s">
        <v>168</v>
      </c>
      <c r="E143" s="65">
        <f>4+3+5</f>
        <v>12</v>
      </c>
      <c r="F143" s="65">
        <v>439.46</v>
      </c>
      <c r="G143" s="65">
        <f t="shared" si="24"/>
        <v>5273.52</v>
      </c>
      <c r="H143" s="126">
        <f t="shared" si="28"/>
        <v>549.45000000000005</v>
      </c>
      <c r="I143" s="126">
        <f t="shared" si="25"/>
        <v>6593.48</v>
      </c>
      <c r="J143" s="70">
        <f t="shared" si="26"/>
        <v>5273.52</v>
      </c>
      <c r="K143" s="189">
        <f t="shared" si="27"/>
        <v>1.3629669802650943E-3</v>
      </c>
    </row>
    <row r="144" spans="1:11" ht="18" hidden="1" customHeight="1" x14ac:dyDescent="0.2">
      <c r="A144" s="63" t="s">
        <v>204</v>
      </c>
      <c r="B144" s="124" t="s">
        <v>872</v>
      </c>
      <c r="C144" s="64" t="s">
        <v>205</v>
      </c>
      <c r="D144" s="125" t="s">
        <v>168</v>
      </c>
      <c r="E144" s="65">
        <f>4+3+5</f>
        <v>12</v>
      </c>
      <c r="F144" s="65">
        <v>934.67</v>
      </c>
      <c r="G144" s="65">
        <f t="shared" si="24"/>
        <v>11216.04</v>
      </c>
      <c r="H144" s="126">
        <f t="shared" si="28"/>
        <v>1168.6099999999999</v>
      </c>
      <c r="I144" s="126">
        <f t="shared" si="25"/>
        <v>14023.41</v>
      </c>
      <c r="J144" s="70">
        <f t="shared" si="26"/>
        <v>11216.04</v>
      </c>
      <c r="K144" s="189">
        <f t="shared" si="27"/>
        <v>2.8988401846550419E-3</v>
      </c>
    </row>
    <row r="145" spans="1:11" x14ac:dyDescent="0.2">
      <c r="A145" s="127" t="s">
        <v>206</v>
      </c>
      <c r="B145" s="128"/>
      <c r="C145" s="66" t="s">
        <v>207</v>
      </c>
      <c r="D145" s="66"/>
      <c r="E145" s="141"/>
      <c r="F145" s="143">
        <f>F146+F147</f>
        <v>331.27</v>
      </c>
      <c r="G145" s="143">
        <f>G146+G147</f>
        <v>5890.6900000000005</v>
      </c>
      <c r="H145" s="129">
        <f>H146+H147</f>
        <v>414.16999999999996</v>
      </c>
      <c r="I145" s="129">
        <f>SUM(I146:I147)</f>
        <v>7365.12</v>
      </c>
      <c r="J145" s="75">
        <f>SUM(J146:J147)</f>
        <v>5890.6900000000005</v>
      </c>
      <c r="K145" s="189">
        <f t="shared" si="27"/>
        <v>1.5224760468963358E-3</v>
      </c>
    </row>
    <row r="146" spans="1:11" ht="28.5" hidden="1" customHeight="1" x14ac:dyDescent="0.2">
      <c r="A146" s="63" t="s">
        <v>208</v>
      </c>
      <c r="B146" s="124" t="s">
        <v>868</v>
      </c>
      <c r="C146" s="64" t="s">
        <v>195</v>
      </c>
      <c r="D146" s="125" t="s">
        <v>168</v>
      </c>
      <c r="E146" s="65">
        <f>12+4+6</f>
        <v>22</v>
      </c>
      <c r="F146" s="65">
        <v>176.02</v>
      </c>
      <c r="G146" s="65">
        <f t="shared" si="24"/>
        <v>3872.44</v>
      </c>
      <c r="H146" s="126">
        <f t="shared" si="28"/>
        <v>220.07</v>
      </c>
      <c r="I146" s="126">
        <f t="shared" si="25"/>
        <v>4841.71</v>
      </c>
      <c r="J146" s="70">
        <f>TRUNC(F146 * E146, 2)</f>
        <v>3872.44</v>
      </c>
      <c r="K146" s="189">
        <f t="shared" si="27"/>
        <v>1.0008509706587888E-3</v>
      </c>
    </row>
    <row r="147" spans="1:11" ht="30" hidden="1" customHeight="1" x14ac:dyDescent="0.2">
      <c r="A147" s="63" t="s">
        <v>209</v>
      </c>
      <c r="B147" s="124" t="s">
        <v>867</v>
      </c>
      <c r="C147" s="64" t="s">
        <v>193</v>
      </c>
      <c r="D147" s="125" t="s">
        <v>168</v>
      </c>
      <c r="E147" s="65">
        <f>6+4+3</f>
        <v>13</v>
      </c>
      <c r="F147" s="65">
        <v>155.25</v>
      </c>
      <c r="G147" s="65">
        <f t="shared" si="24"/>
        <v>2018.25</v>
      </c>
      <c r="H147" s="126">
        <f t="shared" si="28"/>
        <v>194.1</v>
      </c>
      <c r="I147" s="126">
        <f t="shared" si="25"/>
        <v>2523.41</v>
      </c>
      <c r="J147" s="70">
        <f>TRUNC(F147 * E147, 2)</f>
        <v>2018.25</v>
      </c>
      <c r="K147" s="189">
        <f t="shared" si="27"/>
        <v>5.2162507623754704E-4</v>
      </c>
    </row>
    <row r="148" spans="1:11" x14ac:dyDescent="0.2">
      <c r="A148" s="127" t="s">
        <v>210</v>
      </c>
      <c r="B148" s="128"/>
      <c r="C148" s="66" t="s">
        <v>211</v>
      </c>
      <c r="D148" s="66"/>
      <c r="E148" s="141"/>
      <c r="F148" s="143">
        <f>F149+F150</f>
        <v>125.8</v>
      </c>
      <c r="G148" s="143">
        <f>G149+G150</f>
        <v>16935.54</v>
      </c>
      <c r="H148" s="129">
        <f>H149+H150</f>
        <v>157.28</v>
      </c>
      <c r="I148" s="129">
        <f>SUM(I149:I150)</f>
        <v>21174.5</v>
      </c>
      <c r="J148" s="75">
        <f>SUM(J149:J150)</f>
        <v>16935.54</v>
      </c>
      <c r="K148" s="189">
        <f t="shared" si="27"/>
        <v>4.3770731576683692E-3</v>
      </c>
    </row>
    <row r="149" spans="1:11" ht="24" hidden="1" x14ac:dyDescent="0.2">
      <c r="A149" s="63" t="s">
        <v>212</v>
      </c>
      <c r="B149" s="124" t="s">
        <v>213</v>
      </c>
      <c r="C149" s="64" t="s">
        <v>214</v>
      </c>
      <c r="D149" s="125" t="s">
        <v>168</v>
      </c>
      <c r="E149" s="65">
        <f>113+64+76</f>
        <v>253</v>
      </c>
      <c r="F149" s="65">
        <v>36.090000000000003</v>
      </c>
      <c r="G149" s="65">
        <f t="shared" si="24"/>
        <v>9130.77</v>
      </c>
      <c r="H149" s="126">
        <f t="shared" si="28"/>
        <v>45.12</v>
      </c>
      <c r="I149" s="126">
        <f t="shared" si="25"/>
        <v>11416.2</v>
      </c>
      <c r="J149" s="70">
        <f>TRUNC(F149* E149, 2)</f>
        <v>9130.77</v>
      </c>
      <c r="K149" s="189">
        <f t="shared" si="27"/>
        <v>2.3598924452796354E-3</v>
      </c>
    </row>
    <row r="150" spans="1:11" ht="24" hidden="1" x14ac:dyDescent="0.2">
      <c r="A150" s="63" t="s">
        <v>215</v>
      </c>
      <c r="B150" s="124" t="s">
        <v>216</v>
      </c>
      <c r="C150" s="64" t="s">
        <v>217</v>
      </c>
      <c r="D150" s="125" t="s">
        <v>168</v>
      </c>
      <c r="E150" s="65">
        <f>29+24+34</f>
        <v>87</v>
      </c>
      <c r="F150" s="65">
        <v>89.71</v>
      </c>
      <c r="G150" s="65">
        <f t="shared" si="24"/>
        <v>7804.77</v>
      </c>
      <c r="H150" s="126">
        <f t="shared" si="28"/>
        <v>112.16</v>
      </c>
      <c r="I150" s="126">
        <f t="shared" si="25"/>
        <v>9758.2999999999993</v>
      </c>
      <c r="J150" s="70">
        <f>TRUNC(F150 * E150, 2)</f>
        <v>7804.77</v>
      </c>
      <c r="K150" s="189">
        <f t="shared" si="27"/>
        <v>2.0171807123887339E-3</v>
      </c>
    </row>
    <row r="151" spans="1:11" x14ac:dyDescent="0.2">
      <c r="A151" s="127" t="s">
        <v>218</v>
      </c>
      <c r="B151" s="128"/>
      <c r="C151" s="66" t="s">
        <v>219</v>
      </c>
      <c r="D151" s="66"/>
      <c r="E151" s="141"/>
      <c r="F151" s="143">
        <f>F152+F153+F154+F155+F156+F157</f>
        <v>2298.9700000000003</v>
      </c>
      <c r="G151" s="143">
        <f>G152+G153+G154+G155+G156+G157</f>
        <v>141608.08000000002</v>
      </c>
      <c r="H151" s="129">
        <f>SUM(H152:H157)</f>
        <v>2874.38</v>
      </c>
      <c r="I151" s="129">
        <f>SUM(I152:I157)</f>
        <v>177052.55000000002</v>
      </c>
      <c r="J151" s="75">
        <f>SUM(J152:J157)</f>
        <v>141608.08000000002</v>
      </c>
      <c r="K151" s="189">
        <f t="shared" si="27"/>
        <v>3.6599304073377741E-2</v>
      </c>
    </row>
    <row r="152" spans="1:11" ht="30" hidden="1" customHeight="1" x14ac:dyDescent="0.2">
      <c r="A152" s="63" t="s">
        <v>220</v>
      </c>
      <c r="B152" s="124" t="s">
        <v>873</v>
      </c>
      <c r="C152" s="64" t="s">
        <v>221</v>
      </c>
      <c r="D152" s="125" t="s">
        <v>4</v>
      </c>
      <c r="E152" s="65">
        <f>56.5+15.59+8</f>
        <v>80.09</v>
      </c>
      <c r="F152" s="65">
        <v>306.52</v>
      </c>
      <c r="G152" s="65">
        <f t="shared" si="24"/>
        <v>24549.18</v>
      </c>
      <c r="H152" s="126">
        <f t="shared" si="28"/>
        <v>383.24</v>
      </c>
      <c r="I152" s="126">
        <f t="shared" si="25"/>
        <v>30693.83</v>
      </c>
      <c r="J152" s="70">
        <f t="shared" ref="J152:J157" si="29">TRUNC(F152 * E152, 2)</f>
        <v>24549.18</v>
      </c>
      <c r="K152" s="189">
        <f t="shared" si="27"/>
        <v>6.3448553401041887E-3</v>
      </c>
    </row>
    <row r="153" spans="1:11" ht="29.25" hidden="1" customHeight="1" x14ac:dyDescent="0.2">
      <c r="A153" s="63" t="s">
        <v>222</v>
      </c>
      <c r="B153" s="124" t="s">
        <v>874</v>
      </c>
      <c r="C153" s="64" t="s">
        <v>223</v>
      </c>
      <c r="D153" s="125" t="s">
        <v>4</v>
      </c>
      <c r="E153" s="65">
        <f>14.1+13.9+7</f>
        <v>35</v>
      </c>
      <c r="F153" s="65">
        <v>307.61</v>
      </c>
      <c r="G153" s="65">
        <f t="shared" si="24"/>
        <v>10766.35</v>
      </c>
      <c r="H153" s="126">
        <f t="shared" si="28"/>
        <v>384.6</v>
      </c>
      <c r="I153" s="126">
        <f t="shared" si="25"/>
        <v>13461.16</v>
      </c>
      <c r="J153" s="70">
        <f t="shared" si="29"/>
        <v>10766.35</v>
      </c>
      <c r="K153" s="189">
        <f t="shared" si="27"/>
        <v>2.7826150372891518E-3</v>
      </c>
    </row>
    <row r="154" spans="1:11" ht="27.75" hidden="1" customHeight="1" x14ac:dyDescent="0.2">
      <c r="A154" s="63" t="s">
        <v>224</v>
      </c>
      <c r="B154" s="124" t="s">
        <v>875</v>
      </c>
      <c r="C154" s="64" t="s">
        <v>225</v>
      </c>
      <c r="D154" s="125" t="s">
        <v>4</v>
      </c>
      <c r="E154" s="65">
        <f>11.3+13.12+5.6</f>
        <v>30.020000000000003</v>
      </c>
      <c r="F154" s="65">
        <v>205.32</v>
      </c>
      <c r="G154" s="65">
        <f t="shared" si="24"/>
        <v>6163.7</v>
      </c>
      <c r="H154" s="126">
        <f t="shared" si="28"/>
        <v>256.70999999999998</v>
      </c>
      <c r="I154" s="126">
        <f t="shared" si="25"/>
        <v>7706.47</v>
      </c>
      <c r="J154" s="70">
        <f t="shared" si="29"/>
        <v>6163.7</v>
      </c>
      <c r="K154" s="189">
        <f t="shared" si="27"/>
        <v>1.5930379927448846E-3</v>
      </c>
    </row>
    <row r="155" spans="1:11" ht="27.75" hidden="1" customHeight="1" x14ac:dyDescent="0.2">
      <c r="A155" s="63" t="s">
        <v>226</v>
      </c>
      <c r="B155" s="124" t="s">
        <v>227</v>
      </c>
      <c r="C155" s="64" t="s">
        <v>228</v>
      </c>
      <c r="D155" s="125" t="s">
        <v>4</v>
      </c>
      <c r="E155" s="65">
        <f>56.5+25.59+88</f>
        <v>170.09</v>
      </c>
      <c r="F155" s="65">
        <v>387.65</v>
      </c>
      <c r="G155" s="65">
        <f t="shared" si="24"/>
        <v>65935.38</v>
      </c>
      <c r="H155" s="126">
        <f t="shared" si="28"/>
        <v>484.67</v>
      </c>
      <c r="I155" s="126">
        <f t="shared" si="25"/>
        <v>82439</v>
      </c>
      <c r="J155" s="70">
        <f t="shared" si="29"/>
        <v>65935.38</v>
      </c>
      <c r="K155" s="189">
        <f t="shared" si="27"/>
        <v>1.7041324897637381E-2</v>
      </c>
    </row>
    <row r="156" spans="1:11" ht="28.5" hidden="1" customHeight="1" x14ac:dyDescent="0.2">
      <c r="A156" s="63" t="s">
        <v>229</v>
      </c>
      <c r="B156" s="124" t="s">
        <v>876</v>
      </c>
      <c r="C156" s="64" t="s">
        <v>230</v>
      </c>
      <c r="D156" s="125" t="s">
        <v>4</v>
      </c>
      <c r="E156" s="65">
        <f>16.95+9.36+18.4</f>
        <v>44.709999999999994</v>
      </c>
      <c r="F156" s="65">
        <v>650.59</v>
      </c>
      <c r="G156" s="65">
        <f t="shared" si="24"/>
        <v>29087.87</v>
      </c>
      <c r="H156" s="126">
        <f t="shared" si="28"/>
        <v>813.43</v>
      </c>
      <c r="I156" s="126">
        <f t="shared" si="25"/>
        <v>36368.559999999998</v>
      </c>
      <c r="J156" s="70">
        <f t="shared" si="29"/>
        <v>29087.87</v>
      </c>
      <c r="K156" s="189">
        <f t="shared" si="27"/>
        <v>7.5179035046424496E-3</v>
      </c>
    </row>
    <row r="157" spans="1:11" ht="25.5" hidden="1" x14ac:dyDescent="0.2">
      <c r="A157" s="63" t="s">
        <v>231</v>
      </c>
      <c r="B157" s="124" t="s">
        <v>232</v>
      </c>
      <c r="C157" s="64" t="s">
        <v>233</v>
      </c>
      <c r="D157" s="125" t="s">
        <v>4</v>
      </c>
      <c r="E157" s="65">
        <f>5.65+3.12+2.8</f>
        <v>11.57</v>
      </c>
      <c r="F157" s="65">
        <v>441.28</v>
      </c>
      <c r="G157" s="65">
        <f t="shared" si="24"/>
        <v>5105.6000000000004</v>
      </c>
      <c r="H157" s="126">
        <f t="shared" si="28"/>
        <v>551.73</v>
      </c>
      <c r="I157" s="126">
        <f t="shared" si="25"/>
        <v>6383.53</v>
      </c>
      <c r="J157" s="70">
        <f t="shared" si="29"/>
        <v>5105.6000000000004</v>
      </c>
      <c r="K157" s="189">
        <f t="shared" si="27"/>
        <v>1.319567300959681E-3</v>
      </c>
    </row>
    <row r="158" spans="1:11" x14ac:dyDescent="0.2">
      <c r="A158" s="127" t="s">
        <v>234</v>
      </c>
      <c r="B158" s="128"/>
      <c r="C158" s="66" t="s">
        <v>235</v>
      </c>
      <c r="D158" s="66"/>
      <c r="E158" s="141"/>
      <c r="F158" s="143">
        <f>F159+F162+F165+F167+F170+F174</f>
        <v>878.53</v>
      </c>
      <c r="G158" s="143">
        <f>G159+G162+G165+G167+G170+G174</f>
        <v>269628.71999999997</v>
      </c>
      <c r="H158" s="129">
        <f>H159+H162+H165+H167+H170+H174</f>
        <v>1098.3600000000001</v>
      </c>
      <c r="I158" s="129">
        <f>I159+I162+I165+I167+I170+I174</f>
        <v>337116.72</v>
      </c>
      <c r="J158" s="75">
        <f>J159+J162+J165+J167+J170+J174</f>
        <v>269628.71999999997</v>
      </c>
      <c r="K158" s="200">
        <f t="shared" si="27"/>
        <v>6.9686866094273936E-2</v>
      </c>
    </row>
    <row r="159" spans="1:11" x14ac:dyDescent="0.2">
      <c r="A159" s="127" t="s">
        <v>236</v>
      </c>
      <c r="B159" s="128"/>
      <c r="C159" s="66" t="s">
        <v>237</v>
      </c>
      <c r="D159" s="66"/>
      <c r="E159" s="203">
        <v>990</v>
      </c>
      <c r="F159" s="143">
        <f>F160+F161</f>
        <v>100.61000000000001</v>
      </c>
      <c r="G159" s="143">
        <f>G160+G161</f>
        <v>69545.8</v>
      </c>
      <c r="H159" s="129">
        <f>H160+H161</f>
        <v>125.78</v>
      </c>
      <c r="I159" s="129">
        <f>SUM(I160:I161)</f>
        <v>86953.099999999991</v>
      </c>
      <c r="J159" s="75">
        <f>SUM(J160:J161)</f>
        <v>69545.8</v>
      </c>
      <c r="K159" s="189">
        <f t="shared" si="27"/>
        <v>1.7974454177716283E-2</v>
      </c>
    </row>
    <row r="160" spans="1:11" ht="25.5" hidden="1" x14ac:dyDescent="0.2">
      <c r="A160" s="63" t="s">
        <v>238</v>
      </c>
      <c r="B160" s="124" t="s">
        <v>239</v>
      </c>
      <c r="C160" s="64" t="s">
        <v>240</v>
      </c>
      <c r="D160" s="125" t="s">
        <v>4</v>
      </c>
      <c r="E160" s="65">
        <f>112.9+81.18+55.95</f>
        <v>250.03000000000003</v>
      </c>
      <c r="F160" s="65">
        <v>16.850000000000001</v>
      </c>
      <c r="G160" s="65">
        <f t="shared" ref="G160:G189" si="30">TRUNC(E160*F160,2)</f>
        <v>4213</v>
      </c>
      <c r="H160" s="126">
        <f t="shared" si="28"/>
        <v>21.06</v>
      </c>
      <c r="I160" s="126">
        <f t="shared" ref="I160:I189" si="31">TRUNC(G160*(1+I$8),2)</f>
        <v>5267.51</v>
      </c>
      <c r="J160" s="70">
        <f>TRUNC(F160 * E160, 2)</f>
        <v>4213</v>
      </c>
      <c r="K160" s="189">
        <f t="shared" si="27"/>
        <v>1.0888699439774122E-3</v>
      </c>
    </row>
    <row r="161" spans="1:11" ht="25.5" x14ac:dyDescent="0.2">
      <c r="A161" s="63" t="s">
        <v>241</v>
      </c>
      <c r="B161" s="124" t="s">
        <v>242</v>
      </c>
      <c r="C161" s="64" t="s">
        <v>243</v>
      </c>
      <c r="D161" s="125" t="s">
        <v>4</v>
      </c>
      <c r="E161" s="65">
        <f>564.3+155.9+59.8</f>
        <v>779.99999999999989</v>
      </c>
      <c r="F161" s="65">
        <v>83.76</v>
      </c>
      <c r="G161" s="65">
        <f t="shared" si="30"/>
        <v>65332.800000000003</v>
      </c>
      <c r="H161" s="126">
        <f t="shared" si="28"/>
        <v>104.72</v>
      </c>
      <c r="I161" s="126">
        <f t="shared" si="31"/>
        <v>81685.59</v>
      </c>
      <c r="J161" s="70">
        <f>TRUNC(F161 * E161, 2)</f>
        <v>65332.800000000003</v>
      </c>
      <c r="K161" s="189">
        <f t="shared" si="27"/>
        <v>1.6885584233738874E-2</v>
      </c>
    </row>
    <row r="162" spans="1:11" x14ac:dyDescent="0.2">
      <c r="A162" s="127" t="s">
        <v>244</v>
      </c>
      <c r="B162" s="128"/>
      <c r="C162" s="66" t="s">
        <v>245</v>
      </c>
      <c r="D162" s="66"/>
      <c r="E162" s="141"/>
      <c r="F162" s="143">
        <f>F163+F164</f>
        <v>25.689999999999998</v>
      </c>
      <c r="G162" s="143">
        <f>G163+G164</f>
        <v>5914.29</v>
      </c>
      <c r="H162" s="129">
        <f>H163+H164</f>
        <v>32.11</v>
      </c>
      <c r="I162" s="129">
        <f>SUM(I163:I164)</f>
        <v>7394.63</v>
      </c>
      <c r="J162" s="75">
        <f>SUM(J163:J164)</f>
        <v>5914.29</v>
      </c>
      <c r="K162" s="189">
        <f t="shared" si="27"/>
        <v>1.5285761875788923E-3</v>
      </c>
    </row>
    <row r="163" spans="1:11" ht="38.25" hidden="1" x14ac:dyDescent="0.2">
      <c r="A163" s="63" t="s">
        <v>246</v>
      </c>
      <c r="B163" s="124" t="s">
        <v>247</v>
      </c>
      <c r="C163" s="64" t="s">
        <v>248</v>
      </c>
      <c r="D163" s="125" t="s">
        <v>4</v>
      </c>
      <c r="E163" s="65">
        <f>112.9+62.36+25.95</f>
        <v>201.20999999999998</v>
      </c>
      <c r="F163" s="65">
        <v>14.86</v>
      </c>
      <c r="G163" s="65">
        <f t="shared" si="30"/>
        <v>2989.98</v>
      </c>
      <c r="H163" s="126">
        <f t="shared" si="28"/>
        <v>18.57</v>
      </c>
      <c r="I163" s="126">
        <f t="shared" si="31"/>
        <v>3738.37</v>
      </c>
      <c r="J163" s="70">
        <f>TRUNC(F163 * E163, 2)</f>
        <v>2989.98</v>
      </c>
      <c r="K163" s="189">
        <f t="shared" si="27"/>
        <v>7.7277475172649653E-4</v>
      </c>
    </row>
    <row r="164" spans="1:11" ht="25.5" hidden="1" x14ac:dyDescent="0.2">
      <c r="A164" s="63" t="s">
        <v>249</v>
      </c>
      <c r="B164" s="124" t="s">
        <v>250</v>
      </c>
      <c r="C164" s="64" t="s">
        <v>251</v>
      </c>
      <c r="D164" s="125" t="s">
        <v>4</v>
      </c>
      <c r="E164" s="65">
        <f>169.3+46.77+53.95</f>
        <v>270.02000000000004</v>
      </c>
      <c r="F164" s="65">
        <v>10.83</v>
      </c>
      <c r="G164" s="65">
        <f t="shared" si="30"/>
        <v>2924.31</v>
      </c>
      <c r="H164" s="126">
        <f t="shared" si="28"/>
        <v>13.54</v>
      </c>
      <c r="I164" s="126">
        <f t="shared" si="31"/>
        <v>3656.26</v>
      </c>
      <c r="J164" s="70">
        <f>TRUNC(F164 * E164, 2)</f>
        <v>2924.31</v>
      </c>
      <c r="K164" s="189">
        <f t="shared" si="27"/>
        <v>7.5580143585239569E-4</v>
      </c>
    </row>
    <row r="165" spans="1:11" x14ac:dyDescent="0.2">
      <c r="A165" s="127" t="s">
        <v>252</v>
      </c>
      <c r="B165" s="128"/>
      <c r="C165" s="66" t="s">
        <v>253</v>
      </c>
      <c r="D165" s="66"/>
      <c r="E165" s="141"/>
      <c r="F165" s="143">
        <f>F166</f>
        <v>66.430000000000007</v>
      </c>
      <c r="G165" s="143">
        <f>G166</f>
        <v>79716</v>
      </c>
      <c r="H165" s="129">
        <f>H166</f>
        <v>83.05</v>
      </c>
      <c r="I165" s="129">
        <f>I166</f>
        <v>99668.91</v>
      </c>
      <c r="J165" s="75">
        <f>J166</f>
        <v>79716</v>
      </c>
      <c r="K165" s="189">
        <f t="shared" si="27"/>
        <v>2.0602994668826397E-2</v>
      </c>
    </row>
    <row r="166" spans="1:11" ht="42.75" customHeight="1" x14ac:dyDescent="0.2">
      <c r="A166" s="63" t="s">
        <v>254</v>
      </c>
      <c r="B166" s="124" t="s">
        <v>877</v>
      </c>
      <c r="C166" s="64" t="s">
        <v>255</v>
      </c>
      <c r="D166" s="125" t="s">
        <v>4</v>
      </c>
      <c r="E166" s="65">
        <f>564.3+155.9+479.8</f>
        <v>1200</v>
      </c>
      <c r="F166" s="65">
        <v>66.430000000000007</v>
      </c>
      <c r="G166" s="65">
        <f t="shared" si="30"/>
        <v>79716</v>
      </c>
      <c r="H166" s="126">
        <f t="shared" si="28"/>
        <v>83.05</v>
      </c>
      <c r="I166" s="126">
        <f t="shared" si="31"/>
        <v>99668.91</v>
      </c>
      <c r="J166" s="70">
        <f>TRUNC(F166 * E166, 2)</f>
        <v>79716</v>
      </c>
      <c r="K166" s="201">
        <f t="shared" si="27"/>
        <v>2.0602994668826397E-2</v>
      </c>
    </row>
    <row r="167" spans="1:11" x14ac:dyDescent="0.2">
      <c r="A167" s="127" t="s">
        <v>256</v>
      </c>
      <c r="B167" s="128"/>
      <c r="C167" s="66" t="s">
        <v>257</v>
      </c>
      <c r="D167" s="66"/>
      <c r="E167" s="141"/>
      <c r="F167" s="143">
        <f>F168+F169</f>
        <v>154.24</v>
      </c>
      <c r="G167" s="143">
        <f>G168+G169</f>
        <v>14369.08</v>
      </c>
      <c r="H167" s="129">
        <f>H168+H169</f>
        <v>192.83999999999997</v>
      </c>
      <c r="I167" s="129">
        <f>SUM(I168:I169)</f>
        <v>17965.650000000001</v>
      </c>
      <c r="J167" s="75">
        <f>SUM(J168:J169)</f>
        <v>14369.08</v>
      </c>
      <c r="K167" s="189">
        <f t="shared" si="27"/>
        <v>3.7137577923948501E-3</v>
      </c>
    </row>
    <row r="168" spans="1:11" ht="29.25" hidden="1" customHeight="1" x14ac:dyDescent="0.2">
      <c r="A168" s="63" t="s">
        <v>258</v>
      </c>
      <c r="B168" s="124" t="s">
        <v>878</v>
      </c>
      <c r="C168" s="64" t="s">
        <v>259</v>
      </c>
      <c r="D168" s="125" t="s">
        <v>267</v>
      </c>
      <c r="E168" s="65">
        <f>56.5+15.59+28</f>
        <v>100.09</v>
      </c>
      <c r="F168" s="65">
        <v>127.58</v>
      </c>
      <c r="G168" s="65">
        <f t="shared" si="30"/>
        <v>12769.48</v>
      </c>
      <c r="H168" s="126">
        <f t="shared" si="28"/>
        <v>159.51</v>
      </c>
      <c r="I168" s="126">
        <f t="shared" si="31"/>
        <v>15965.68</v>
      </c>
      <c r="J168" s="70">
        <f>TRUNC(F168 * E168, 2)</f>
        <v>12769.48</v>
      </c>
      <c r="K168" s="189">
        <f t="shared" si="27"/>
        <v>3.3003352793181768E-3</v>
      </c>
    </row>
    <row r="169" spans="1:11" ht="40.5" hidden="1" customHeight="1" x14ac:dyDescent="0.2">
      <c r="A169" s="63" t="s">
        <v>260</v>
      </c>
      <c r="B169" s="124" t="s">
        <v>879</v>
      </c>
      <c r="C169" s="64" t="s">
        <v>261</v>
      </c>
      <c r="D169" s="125" t="s">
        <v>267</v>
      </c>
      <c r="E169" s="65">
        <f>28.2+17.8+14</f>
        <v>60</v>
      </c>
      <c r="F169" s="65">
        <v>26.66</v>
      </c>
      <c r="G169" s="65">
        <f t="shared" si="30"/>
        <v>1599.6</v>
      </c>
      <c r="H169" s="126">
        <f t="shared" si="28"/>
        <v>33.33</v>
      </c>
      <c r="I169" s="126">
        <f t="shared" si="31"/>
        <v>1999.97</v>
      </c>
      <c r="J169" s="70">
        <f>TRUNC(F169 * E169, 2)</f>
        <v>1599.6</v>
      </c>
      <c r="K169" s="189">
        <f t="shared" si="27"/>
        <v>4.1342251307667282E-4</v>
      </c>
    </row>
    <row r="170" spans="1:11" x14ac:dyDescent="0.2">
      <c r="A170" s="127" t="s">
        <v>262</v>
      </c>
      <c r="B170" s="128"/>
      <c r="C170" s="66" t="s">
        <v>263</v>
      </c>
      <c r="D170" s="66"/>
      <c r="E170" s="141"/>
      <c r="F170" s="143">
        <f>F171+F172+F173</f>
        <v>223.9</v>
      </c>
      <c r="G170" s="143">
        <f>G171+G172+G173</f>
        <v>45356.73</v>
      </c>
      <c r="H170" s="129">
        <f>H171+H172+H173</f>
        <v>279.93</v>
      </c>
      <c r="I170" s="129">
        <f>SUM(I171:I173)</f>
        <v>56709.51</v>
      </c>
      <c r="J170" s="75">
        <f>SUM(J171:J173)</f>
        <v>45356.73</v>
      </c>
      <c r="K170" s="189">
        <f t="shared" si="27"/>
        <v>1.1722669909822002E-2</v>
      </c>
    </row>
    <row r="171" spans="1:11" ht="29.25" hidden="1" customHeight="1" x14ac:dyDescent="0.2">
      <c r="A171" s="63" t="s">
        <v>264</v>
      </c>
      <c r="B171" s="124" t="s">
        <v>265</v>
      </c>
      <c r="C171" s="64" t="s">
        <v>266</v>
      </c>
      <c r="D171" s="125" t="s">
        <v>267</v>
      </c>
      <c r="E171" s="65">
        <f>169.3+46.77+83.95</f>
        <v>300.02000000000004</v>
      </c>
      <c r="F171" s="65">
        <v>87.41</v>
      </c>
      <c r="G171" s="65">
        <f t="shared" si="30"/>
        <v>26224.74</v>
      </c>
      <c r="H171" s="126">
        <f t="shared" si="28"/>
        <v>109.28</v>
      </c>
      <c r="I171" s="126">
        <f t="shared" si="31"/>
        <v>32788.79</v>
      </c>
      <c r="J171" s="70">
        <f>TRUNC(F171* E171, 2)</f>
        <v>26224.74</v>
      </c>
      <c r="K171" s="189">
        <f t="shared" si="27"/>
        <v>6.7779136499763895E-3</v>
      </c>
    </row>
    <row r="172" spans="1:11" ht="29.25" hidden="1" customHeight="1" x14ac:dyDescent="0.2">
      <c r="A172" s="63" t="s">
        <v>268</v>
      </c>
      <c r="B172" s="124" t="s">
        <v>880</v>
      </c>
      <c r="C172" s="64" t="s">
        <v>269</v>
      </c>
      <c r="D172" s="125" t="s">
        <v>267</v>
      </c>
      <c r="E172" s="65">
        <f>112.9+31.18+55.95</f>
        <v>200.03000000000003</v>
      </c>
      <c r="F172" s="65">
        <v>54.74</v>
      </c>
      <c r="G172" s="65">
        <f t="shared" si="30"/>
        <v>10949.64</v>
      </c>
      <c r="H172" s="126">
        <f t="shared" si="28"/>
        <v>68.44</v>
      </c>
      <c r="I172" s="126">
        <f t="shared" si="31"/>
        <v>13690.33</v>
      </c>
      <c r="J172" s="70">
        <f>TRUNC(F172* E172, 2)</f>
        <v>10949.64</v>
      </c>
      <c r="K172" s="189">
        <f t="shared" si="27"/>
        <v>2.8299877665409813E-3</v>
      </c>
    </row>
    <row r="173" spans="1:11" ht="29.25" hidden="1" customHeight="1" x14ac:dyDescent="0.2">
      <c r="A173" s="63" t="s">
        <v>270</v>
      </c>
      <c r="B173" s="124" t="s">
        <v>881</v>
      </c>
      <c r="C173" s="64" t="s">
        <v>271</v>
      </c>
      <c r="D173" s="125" t="s">
        <v>267</v>
      </c>
      <c r="E173" s="65">
        <f>56.5+15.59+28</f>
        <v>100.09</v>
      </c>
      <c r="F173" s="65">
        <v>81.75</v>
      </c>
      <c r="G173" s="65">
        <f t="shared" si="30"/>
        <v>8182.35</v>
      </c>
      <c r="H173" s="126">
        <f t="shared" si="28"/>
        <v>102.21</v>
      </c>
      <c r="I173" s="126">
        <f t="shared" si="31"/>
        <v>10230.39</v>
      </c>
      <c r="J173" s="70">
        <f>TRUNC(F173* E173, 2)</f>
        <v>8182.35</v>
      </c>
      <c r="K173" s="189">
        <f t="shared" si="27"/>
        <v>2.114768493304631E-3</v>
      </c>
    </row>
    <row r="174" spans="1:11" x14ac:dyDescent="0.2">
      <c r="A174" s="127" t="s">
        <v>272</v>
      </c>
      <c r="B174" s="128"/>
      <c r="C174" s="66" t="s">
        <v>273</v>
      </c>
      <c r="D174" s="66"/>
      <c r="E174" s="141"/>
      <c r="F174" s="143">
        <f>F175+F176+F177+F178</f>
        <v>307.65999999999997</v>
      </c>
      <c r="G174" s="143">
        <f>G175+G176+G177+G178</f>
        <v>54726.820000000007</v>
      </c>
      <c r="H174" s="129">
        <f>H175+H176+H177+H178</f>
        <v>384.65</v>
      </c>
      <c r="I174" s="129">
        <f>SUM(I175:I178)</f>
        <v>68424.92</v>
      </c>
      <c r="J174" s="75">
        <f>SUM(J175:J178)</f>
        <v>54726.820000000007</v>
      </c>
      <c r="K174" s="189">
        <f t="shared" si="27"/>
        <v>1.4144413357935514E-2</v>
      </c>
    </row>
    <row r="175" spans="1:11" ht="28.5" hidden="1" customHeight="1" x14ac:dyDescent="0.2">
      <c r="A175" s="63" t="s">
        <v>274</v>
      </c>
      <c r="B175" s="124" t="s">
        <v>275</v>
      </c>
      <c r="C175" s="64" t="s">
        <v>276</v>
      </c>
      <c r="D175" s="125" t="s">
        <v>267</v>
      </c>
      <c r="E175" s="65">
        <f>28.2+27.8+44</f>
        <v>100</v>
      </c>
      <c r="F175" s="65">
        <v>59.06</v>
      </c>
      <c r="G175" s="65">
        <f t="shared" si="30"/>
        <v>5906</v>
      </c>
      <c r="H175" s="126">
        <f t="shared" si="28"/>
        <v>73.84</v>
      </c>
      <c r="I175" s="126">
        <f t="shared" si="31"/>
        <v>7384.27</v>
      </c>
      <c r="J175" s="70">
        <f>TRUNC(F175 * E175, 2)</f>
        <v>5906</v>
      </c>
      <c r="K175" s="189">
        <f t="shared" si="27"/>
        <v>1.5264346268377442E-3</v>
      </c>
    </row>
    <row r="176" spans="1:11" ht="29.25" hidden="1" customHeight="1" x14ac:dyDescent="0.2">
      <c r="A176" s="63" t="s">
        <v>277</v>
      </c>
      <c r="B176" s="124" t="s">
        <v>278</v>
      </c>
      <c r="C176" s="64" t="s">
        <v>279</v>
      </c>
      <c r="D176" s="125" t="s">
        <v>267</v>
      </c>
      <c r="E176" s="65">
        <f>56.5+15.59+58</f>
        <v>130.09</v>
      </c>
      <c r="F176" s="65">
        <v>77.959999999999994</v>
      </c>
      <c r="G176" s="65">
        <f t="shared" si="30"/>
        <v>10141.81</v>
      </c>
      <c r="H176" s="126">
        <f t="shared" si="28"/>
        <v>97.47</v>
      </c>
      <c r="I176" s="126">
        <f t="shared" si="31"/>
        <v>12680.3</v>
      </c>
      <c r="J176" s="70">
        <f>TRUNC(F176 * E176, 2)</f>
        <v>10141.81</v>
      </c>
      <c r="K176" s="189">
        <f t="shared" si="27"/>
        <v>2.6212000642840314E-3</v>
      </c>
    </row>
    <row r="177" spans="1:11" ht="27" hidden="1" customHeight="1" x14ac:dyDescent="0.2">
      <c r="A177" s="63" t="s">
        <v>280</v>
      </c>
      <c r="B177" s="124" t="s">
        <v>882</v>
      </c>
      <c r="C177" s="64" t="s">
        <v>1087</v>
      </c>
      <c r="D177" s="125" t="s">
        <v>4</v>
      </c>
      <c r="E177" s="65">
        <f>112.9+31.18+55.95</f>
        <v>200.03000000000003</v>
      </c>
      <c r="F177" s="65">
        <v>19.11</v>
      </c>
      <c r="G177" s="65">
        <f t="shared" si="30"/>
        <v>3822.57</v>
      </c>
      <c r="H177" s="126">
        <f t="shared" si="28"/>
        <v>23.89</v>
      </c>
      <c r="I177" s="126">
        <f t="shared" si="31"/>
        <v>4779.3500000000004</v>
      </c>
      <c r="J177" s="70">
        <f>TRUNC(F177 * E177, 2)</f>
        <v>3822.57</v>
      </c>
      <c r="K177" s="189">
        <f t="shared" si="27"/>
        <v>9.8796026334044837E-4</v>
      </c>
    </row>
    <row r="178" spans="1:11" ht="25.5" hidden="1" x14ac:dyDescent="0.2">
      <c r="A178" s="63" t="s">
        <v>281</v>
      </c>
      <c r="B178" s="124" t="s">
        <v>883</v>
      </c>
      <c r="C178" s="64" t="s">
        <v>1088</v>
      </c>
      <c r="D178" s="125" t="s">
        <v>267</v>
      </c>
      <c r="E178" s="65">
        <f>112.9+31.18+85.95</f>
        <v>230.03000000000003</v>
      </c>
      <c r="F178" s="65">
        <v>151.53</v>
      </c>
      <c r="G178" s="65">
        <f t="shared" si="30"/>
        <v>34856.44</v>
      </c>
      <c r="H178" s="126">
        <f t="shared" si="28"/>
        <v>189.45</v>
      </c>
      <c r="I178" s="126">
        <f t="shared" si="31"/>
        <v>43581</v>
      </c>
      <c r="J178" s="70">
        <f>TRUNC(F178 * E178, 2)</f>
        <v>34856.44</v>
      </c>
      <c r="K178" s="189">
        <f t="shared" si="27"/>
        <v>9.0088184034732913E-3</v>
      </c>
    </row>
    <row r="179" spans="1:11" x14ac:dyDescent="0.2">
      <c r="A179" s="127" t="s">
        <v>282</v>
      </c>
      <c r="B179" s="128"/>
      <c r="C179" s="66" t="s">
        <v>283</v>
      </c>
      <c r="D179" s="66"/>
      <c r="E179" s="141"/>
      <c r="F179" s="143">
        <f>F180+F181+F182+F183+F184</f>
        <v>157.34</v>
      </c>
      <c r="G179" s="143">
        <f>G180+G181+G182+G183+G184</f>
        <v>51676.25</v>
      </c>
      <c r="H179" s="129">
        <f>H180+H181+H182+H183+H184</f>
        <v>196.7</v>
      </c>
      <c r="I179" s="129">
        <f>SUM(I180:I184)</f>
        <v>64610.780000000006</v>
      </c>
      <c r="J179" s="75">
        <f>SUM(J180:J184)</f>
        <v>51676.25</v>
      </c>
      <c r="K179" s="189">
        <f t="shared" si="27"/>
        <v>1.3355975859359907E-2</v>
      </c>
    </row>
    <row r="180" spans="1:11" ht="29.25" hidden="1" customHeight="1" x14ac:dyDescent="0.2">
      <c r="A180" s="63" t="s">
        <v>284</v>
      </c>
      <c r="B180" s="124" t="s">
        <v>884</v>
      </c>
      <c r="C180" s="64" t="s">
        <v>285</v>
      </c>
      <c r="D180" s="125" t="s">
        <v>4</v>
      </c>
      <c r="E180" s="65">
        <f>282.15+77.95+139.9</f>
        <v>500</v>
      </c>
      <c r="F180" s="65">
        <v>3.81</v>
      </c>
      <c r="G180" s="65">
        <f t="shared" si="30"/>
        <v>1905</v>
      </c>
      <c r="H180" s="126">
        <f t="shared" si="28"/>
        <v>4.76</v>
      </c>
      <c r="I180" s="126">
        <f t="shared" si="31"/>
        <v>2381.8200000000002</v>
      </c>
      <c r="J180" s="70">
        <f>TRUNC(F180* E180, 2)</f>
        <v>1905</v>
      </c>
      <c r="K180" s="189">
        <f t="shared" si="27"/>
        <v>4.9235639039399643E-4</v>
      </c>
    </row>
    <row r="181" spans="1:11" ht="41.25" hidden="1" customHeight="1" x14ac:dyDescent="0.2">
      <c r="A181" s="63" t="s">
        <v>286</v>
      </c>
      <c r="B181" s="124" t="s">
        <v>885</v>
      </c>
      <c r="C181" s="64" t="s">
        <v>287</v>
      </c>
      <c r="D181" s="125" t="s">
        <v>4</v>
      </c>
      <c r="E181" s="65">
        <f>338.6+93.54+139.9</f>
        <v>572.04000000000008</v>
      </c>
      <c r="F181" s="65">
        <v>5.26</v>
      </c>
      <c r="G181" s="65">
        <f t="shared" si="30"/>
        <v>3008.93</v>
      </c>
      <c r="H181" s="126">
        <f t="shared" si="28"/>
        <v>6.57</v>
      </c>
      <c r="I181" s="126">
        <f t="shared" si="31"/>
        <v>3762.06</v>
      </c>
      <c r="J181" s="70">
        <f>TRUNC(F181* E181, 2)</f>
        <v>3008.93</v>
      </c>
      <c r="K181" s="189">
        <f t="shared" si="27"/>
        <v>7.7767181484983666E-4</v>
      </c>
    </row>
    <row r="182" spans="1:11" ht="59.25" hidden="1" customHeight="1" x14ac:dyDescent="0.2">
      <c r="A182" s="63" t="s">
        <v>288</v>
      </c>
      <c r="B182" s="124" t="s">
        <v>886</v>
      </c>
      <c r="C182" s="64" t="s">
        <v>289</v>
      </c>
      <c r="D182" s="125" t="s">
        <v>4</v>
      </c>
      <c r="E182" s="65">
        <f>282.15+77.95+167.9</f>
        <v>528</v>
      </c>
      <c r="F182" s="65">
        <v>32.700000000000003</v>
      </c>
      <c r="G182" s="65">
        <f t="shared" si="30"/>
        <v>17265.599999999999</v>
      </c>
      <c r="H182" s="126">
        <f t="shared" si="28"/>
        <v>40.880000000000003</v>
      </c>
      <c r="I182" s="126">
        <f t="shared" si="31"/>
        <v>21587.17</v>
      </c>
      <c r="J182" s="70">
        <f>TRUNC(F182* E182, 2)</f>
        <v>17265.599999999999</v>
      </c>
      <c r="K182" s="189">
        <f t="shared" si="27"/>
        <v>4.4623779714762519E-3</v>
      </c>
    </row>
    <row r="183" spans="1:11" ht="41.25" hidden="1" customHeight="1" x14ac:dyDescent="0.2">
      <c r="A183" s="63" t="s">
        <v>290</v>
      </c>
      <c r="B183" s="124" t="s">
        <v>887</v>
      </c>
      <c r="C183" s="64" t="s">
        <v>291</v>
      </c>
      <c r="D183" s="125" t="s">
        <v>4</v>
      </c>
      <c r="E183" s="65">
        <f>338.6+93.54+139.9</f>
        <v>572.04000000000008</v>
      </c>
      <c r="F183" s="65">
        <v>45.93</v>
      </c>
      <c r="G183" s="65">
        <f t="shared" si="30"/>
        <v>26273.79</v>
      </c>
      <c r="H183" s="126">
        <f t="shared" si="28"/>
        <v>57.42</v>
      </c>
      <c r="I183" s="126">
        <f t="shared" si="31"/>
        <v>32850.11</v>
      </c>
      <c r="J183" s="70">
        <f>TRUNC(F183* E183, 2)</f>
        <v>26273.79</v>
      </c>
      <c r="K183" s="189">
        <f t="shared" si="27"/>
        <v>6.7905893743631859E-3</v>
      </c>
    </row>
    <row r="184" spans="1:11" ht="43.5" hidden="1" customHeight="1" x14ac:dyDescent="0.2">
      <c r="A184" s="63" t="s">
        <v>292</v>
      </c>
      <c r="B184" s="124" t="s">
        <v>888</v>
      </c>
      <c r="C184" s="64" t="s">
        <v>293</v>
      </c>
      <c r="D184" s="125" t="s">
        <v>4</v>
      </c>
      <c r="E184" s="65">
        <f>22.6+12.48+11.2</f>
        <v>46.28</v>
      </c>
      <c r="F184" s="65">
        <v>69.64</v>
      </c>
      <c r="G184" s="65">
        <f t="shared" si="30"/>
        <v>3222.93</v>
      </c>
      <c r="H184" s="126">
        <f t="shared" si="28"/>
        <v>87.07</v>
      </c>
      <c r="I184" s="126">
        <f t="shared" si="31"/>
        <v>4029.62</v>
      </c>
      <c r="J184" s="70">
        <f>TRUNC(F184* E184, 2)</f>
        <v>3222.93</v>
      </c>
      <c r="K184" s="189">
        <f t="shared" si="27"/>
        <v>8.3298030827663532E-4</v>
      </c>
    </row>
    <row r="185" spans="1:11" x14ac:dyDescent="0.2">
      <c r="A185" s="127" t="s">
        <v>294</v>
      </c>
      <c r="B185" s="128"/>
      <c r="C185" s="66" t="s">
        <v>295</v>
      </c>
      <c r="D185" s="66"/>
      <c r="E185" s="141"/>
      <c r="F185" s="143">
        <f>F186+F187+F188+F189</f>
        <v>435.06</v>
      </c>
      <c r="G185" s="143">
        <f>G186+G187+G188+G189</f>
        <v>80507.16</v>
      </c>
      <c r="H185" s="129">
        <f>H186+H187+H188+H189</f>
        <v>543.94000000000005</v>
      </c>
      <c r="I185" s="129">
        <f>SUM(I186:I189)</f>
        <v>100658.09000000001</v>
      </c>
      <c r="J185" s="75">
        <f>SUM(J186:J189)</f>
        <v>78773.16</v>
      </c>
      <c r="K185" s="189">
        <f t="shared" si="27"/>
        <v>2.0807472376734609E-2</v>
      </c>
    </row>
    <row r="186" spans="1:11" ht="25.5" hidden="1" x14ac:dyDescent="0.2">
      <c r="A186" s="63" t="s">
        <v>296</v>
      </c>
      <c r="B186" s="130" t="s">
        <v>889</v>
      </c>
      <c r="C186" s="64" t="s">
        <v>297</v>
      </c>
      <c r="D186" s="125" t="s">
        <v>4</v>
      </c>
      <c r="E186" s="65">
        <f>225.75+93.54+111.9</f>
        <v>431.19000000000005</v>
      </c>
      <c r="F186" s="65">
        <v>83.5</v>
      </c>
      <c r="G186" s="65">
        <f t="shared" si="30"/>
        <v>36004.36</v>
      </c>
      <c r="H186" s="126">
        <f t="shared" si="28"/>
        <v>104.4</v>
      </c>
      <c r="I186" s="126">
        <f t="shared" si="31"/>
        <v>45016.25</v>
      </c>
      <c r="J186" s="70">
        <f>TRUNC(F186 * E186, 2)</f>
        <v>36004.36</v>
      </c>
      <c r="K186" s="189">
        <f t="shared" si="27"/>
        <v>9.3055051847216567E-3</v>
      </c>
    </row>
    <row r="187" spans="1:11" ht="29.25" hidden="1" customHeight="1" x14ac:dyDescent="0.2">
      <c r="A187" s="63" t="s">
        <v>298</v>
      </c>
      <c r="B187" s="130" t="s">
        <v>299</v>
      </c>
      <c r="C187" s="64" t="s">
        <v>300</v>
      </c>
      <c r="D187" s="125" t="s">
        <v>4</v>
      </c>
      <c r="E187" s="65">
        <f>112.9+31.18+55.95</f>
        <v>200.03000000000003</v>
      </c>
      <c r="F187" s="65">
        <v>160</v>
      </c>
      <c r="G187" s="65">
        <f t="shared" si="30"/>
        <v>32004.799999999999</v>
      </c>
      <c r="H187" s="126">
        <f t="shared" si="28"/>
        <v>200.04</v>
      </c>
      <c r="I187" s="126">
        <f t="shared" si="31"/>
        <v>40015.599999999999</v>
      </c>
      <c r="J187" s="70">
        <f>TRUNC(F187 * E187, 2)</f>
        <v>32004.799999999999</v>
      </c>
      <c r="K187" s="189">
        <f t="shared" si="27"/>
        <v>8.2717990341209663E-3</v>
      </c>
    </row>
    <row r="188" spans="1:11" ht="18" hidden="1" customHeight="1" x14ac:dyDescent="0.2">
      <c r="A188" s="63" t="s">
        <v>1228</v>
      </c>
      <c r="B188" s="124" t="s">
        <v>1229</v>
      </c>
      <c r="C188" s="64" t="s">
        <v>1230</v>
      </c>
      <c r="D188" s="125" t="s">
        <v>267</v>
      </c>
      <c r="E188" s="65">
        <v>150</v>
      </c>
      <c r="F188" s="65">
        <v>11.56</v>
      </c>
      <c r="G188" s="65">
        <f t="shared" si="30"/>
        <v>1734</v>
      </c>
      <c r="H188" s="126">
        <f t="shared" si="28"/>
        <v>14.45</v>
      </c>
      <c r="I188" s="126">
        <f t="shared" si="31"/>
        <v>2168.02</v>
      </c>
      <c r="J188" s="70"/>
      <c r="K188" s="189">
        <f t="shared" si="27"/>
        <v>4.4816086081315629E-4</v>
      </c>
    </row>
    <row r="189" spans="1:11" ht="18.75" hidden="1" customHeight="1" x14ac:dyDescent="0.2">
      <c r="A189" s="63" t="s">
        <v>1065</v>
      </c>
      <c r="B189" s="130" t="s">
        <v>301</v>
      </c>
      <c r="C189" s="64" t="s">
        <v>302</v>
      </c>
      <c r="D189" s="125" t="s">
        <v>4</v>
      </c>
      <c r="E189" s="65">
        <f>28+17.8+14</f>
        <v>59.8</v>
      </c>
      <c r="F189" s="65">
        <v>180</v>
      </c>
      <c r="G189" s="65">
        <f t="shared" si="30"/>
        <v>10764</v>
      </c>
      <c r="H189" s="126">
        <f t="shared" si="28"/>
        <v>225.05</v>
      </c>
      <c r="I189" s="126">
        <f t="shared" si="31"/>
        <v>13458.22</v>
      </c>
      <c r="J189" s="70">
        <f>TRUNC(F189 * E189, 2)</f>
        <v>10764</v>
      </c>
      <c r="K189" s="189">
        <f t="shared" si="27"/>
        <v>2.7820072970788259E-3</v>
      </c>
    </row>
    <row r="190" spans="1:11" x14ac:dyDescent="0.2">
      <c r="A190" s="127" t="s">
        <v>303</v>
      </c>
      <c r="B190" s="128"/>
      <c r="C190" s="66" t="s">
        <v>304</v>
      </c>
      <c r="D190" s="66"/>
      <c r="E190" s="141"/>
      <c r="F190" s="143">
        <f>F191+F204</f>
        <v>389.83000000000004</v>
      </c>
      <c r="G190" s="143">
        <f>G191+G204</f>
        <v>543507.59</v>
      </c>
      <c r="H190" s="129">
        <f>H191+H204</f>
        <v>487.30999999999995</v>
      </c>
      <c r="I190" s="129">
        <f>I191+I204</f>
        <v>679547.47</v>
      </c>
      <c r="J190" s="75">
        <f>J191+J204</f>
        <v>543507.59</v>
      </c>
      <c r="K190" s="189">
        <f t="shared" si="27"/>
        <v>0.14047221848442473</v>
      </c>
    </row>
    <row r="191" spans="1:11" x14ac:dyDescent="0.2">
      <c r="A191" s="127" t="s">
        <v>305</v>
      </c>
      <c r="B191" s="128"/>
      <c r="C191" s="66" t="s">
        <v>306</v>
      </c>
      <c r="D191" s="66"/>
      <c r="E191" s="141"/>
      <c r="F191" s="143">
        <f>SUM(F192:F203)</f>
        <v>333.72</v>
      </c>
      <c r="G191" s="143">
        <f>G192+G193+G194+G195+G196+G197+G198+G199+G200+G201+G202+G203</f>
        <v>532272.66999999993</v>
      </c>
      <c r="H191" s="129">
        <f>SUM(H192:H203)</f>
        <v>417.16999999999996</v>
      </c>
      <c r="I191" s="129">
        <f>SUM(I192:I203)</f>
        <v>665500.47</v>
      </c>
      <c r="J191" s="75">
        <f>SUM(J192:J203)</f>
        <v>532272.66999999993</v>
      </c>
      <c r="K191" s="201">
        <f t="shared" si="27"/>
        <v>0.13756850190808206</v>
      </c>
    </row>
    <row r="192" spans="1:11" ht="30" hidden="1" customHeight="1" x14ac:dyDescent="0.2">
      <c r="A192" s="63" t="s">
        <v>307</v>
      </c>
      <c r="B192" s="124" t="s">
        <v>890</v>
      </c>
      <c r="C192" s="64" t="s">
        <v>308</v>
      </c>
      <c r="D192" s="125" t="s">
        <v>4</v>
      </c>
      <c r="E192" s="65">
        <f>338.6+93.54+167.9</f>
        <v>600.04000000000008</v>
      </c>
      <c r="F192" s="65">
        <v>2.95</v>
      </c>
      <c r="G192" s="65">
        <f t="shared" ref="G192:G257" si="32">TRUNC(E192*F192,2)</f>
        <v>1770.11</v>
      </c>
      <c r="H192" s="126">
        <f t="shared" si="28"/>
        <v>3.68</v>
      </c>
      <c r="I192" s="126">
        <f t="shared" ref="I192:I257" si="33">TRUNC(G192*(1+I$8),2)</f>
        <v>2213.16</v>
      </c>
      <c r="J192" s="70">
        <f>TRUNC(F192 * E192, 2)</f>
        <v>1770.11</v>
      </c>
      <c r="K192" s="189">
        <f t="shared" si="27"/>
        <v>4.5749194689958806E-4</v>
      </c>
    </row>
    <row r="193" spans="1:11" ht="21.75" hidden="1" customHeight="1" x14ac:dyDescent="0.2">
      <c r="A193" s="63" t="s">
        <v>309</v>
      </c>
      <c r="B193" s="124" t="s">
        <v>891</v>
      </c>
      <c r="C193" s="64" t="s">
        <v>310</v>
      </c>
      <c r="D193" s="125" t="s">
        <v>4</v>
      </c>
      <c r="E193" s="65">
        <f>338.6+93.54+167.9</f>
        <v>600.04000000000008</v>
      </c>
      <c r="F193" s="65">
        <v>9.42</v>
      </c>
      <c r="G193" s="65">
        <f t="shared" si="32"/>
        <v>5652.37</v>
      </c>
      <c r="H193" s="126">
        <f t="shared" si="28"/>
        <v>11.77</v>
      </c>
      <c r="I193" s="126">
        <f t="shared" si="33"/>
        <v>7067.15</v>
      </c>
      <c r="J193" s="70">
        <f t="shared" ref="J193:J203" si="34">TRUNC(F193 * E193, 2)</f>
        <v>5652.37</v>
      </c>
      <c r="K193" s="189">
        <f t="shared" si="27"/>
        <v>1.4608813698654521E-3</v>
      </c>
    </row>
    <row r="194" spans="1:11" ht="29.25" customHeight="1" x14ac:dyDescent="0.2">
      <c r="A194" s="63" t="s">
        <v>311</v>
      </c>
      <c r="B194" s="124" t="s">
        <v>892</v>
      </c>
      <c r="C194" s="64" t="s">
        <v>312</v>
      </c>
      <c r="D194" s="125" t="s">
        <v>4</v>
      </c>
      <c r="E194" s="65">
        <f>16929+4644+8794</f>
        <v>30367</v>
      </c>
      <c r="F194" s="65">
        <v>11.42</v>
      </c>
      <c r="G194" s="65">
        <f t="shared" si="32"/>
        <v>346791.14</v>
      </c>
      <c r="H194" s="126">
        <f t="shared" si="28"/>
        <v>14.27</v>
      </c>
      <c r="I194" s="126">
        <f t="shared" si="33"/>
        <v>433592.96</v>
      </c>
      <c r="J194" s="70">
        <f t="shared" si="34"/>
        <v>346791.14</v>
      </c>
      <c r="K194" s="201">
        <f>I194/I191</f>
        <v>0.65152915669616285</v>
      </c>
    </row>
    <row r="195" spans="1:11" ht="29.25" hidden="1" customHeight="1" x14ac:dyDescent="0.2">
      <c r="A195" s="63" t="s">
        <v>313</v>
      </c>
      <c r="B195" s="124" t="s">
        <v>893</v>
      </c>
      <c r="C195" s="64" t="s">
        <v>314</v>
      </c>
      <c r="D195" s="125" t="s">
        <v>4</v>
      </c>
      <c r="E195" s="65">
        <f>1692.9+467.7+839.4</f>
        <v>3000</v>
      </c>
      <c r="F195" s="65">
        <v>11.76</v>
      </c>
      <c r="G195" s="65">
        <f t="shared" si="32"/>
        <v>35280</v>
      </c>
      <c r="H195" s="126">
        <f t="shared" si="28"/>
        <v>14.7</v>
      </c>
      <c r="I195" s="126">
        <f t="shared" si="33"/>
        <v>44110.58</v>
      </c>
      <c r="J195" s="70">
        <f t="shared" si="34"/>
        <v>35280</v>
      </c>
      <c r="K195" s="189">
        <f t="shared" si="27"/>
        <v>9.1182901927877036E-3</v>
      </c>
    </row>
    <row r="196" spans="1:11" ht="20.25" hidden="1" customHeight="1" x14ac:dyDescent="0.2">
      <c r="A196" s="63" t="s">
        <v>315</v>
      </c>
      <c r="B196" s="124" t="s">
        <v>894</v>
      </c>
      <c r="C196" s="64" t="s">
        <v>316</v>
      </c>
      <c r="D196" s="125" t="s">
        <v>4</v>
      </c>
      <c r="E196" s="65">
        <f>84.65+73.39+62</f>
        <v>220.04000000000002</v>
      </c>
      <c r="F196" s="65">
        <v>19.77</v>
      </c>
      <c r="G196" s="65">
        <f t="shared" si="32"/>
        <v>4350.1899999999996</v>
      </c>
      <c r="H196" s="126">
        <f t="shared" si="28"/>
        <v>24.71</v>
      </c>
      <c r="I196" s="126">
        <f t="shared" si="33"/>
        <v>5439.04</v>
      </c>
      <c r="J196" s="70">
        <f t="shared" si="34"/>
        <v>4350.1899999999996</v>
      </c>
      <c r="K196" s="189">
        <f t="shared" si="27"/>
        <v>1.1243276576771385E-3</v>
      </c>
    </row>
    <row r="197" spans="1:11" ht="30.75" hidden="1" customHeight="1" x14ac:dyDescent="0.2">
      <c r="A197" s="63" t="s">
        <v>317</v>
      </c>
      <c r="B197" s="124" t="s">
        <v>895</v>
      </c>
      <c r="C197" s="64" t="s">
        <v>318</v>
      </c>
      <c r="D197" s="125" t="s">
        <v>4</v>
      </c>
      <c r="E197" s="65">
        <f>395+139.13+195.85</f>
        <v>729.98</v>
      </c>
      <c r="F197" s="65">
        <v>21.56</v>
      </c>
      <c r="G197" s="65">
        <f t="shared" si="32"/>
        <v>15738.36</v>
      </c>
      <c r="H197" s="126">
        <f t="shared" si="28"/>
        <v>26.95</v>
      </c>
      <c r="I197" s="126">
        <f t="shared" si="33"/>
        <v>19677.669999999998</v>
      </c>
      <c r="J197" s="70">
        <f t="shared" si="34"/>
        <v>15738.36</v>
      </c>
      <c r="K197" s="189">
        <f t="shared" si="27"/>
        <v>4.0676569063003206E-3</v>
      </c>
    </row>
    <row r="198" spans="1:11" ht="42" hidden="1" customHeight="1" x14ac:dyDescent="0.2">
      <c r="A198" s="63" t="s">
        <v>319</v>
      </c>
      <c r="B198" s="124" t="s">
        <v>896</v>
      </c>
      <c r="C198" s="64" t="s">
        <v>320</v>
      </c>
      <c r="D198" s="125" t="s">
        <v>4</v>
      </c>
      <c r="E198" s="65">
        <f>395+139.13+195.85</f>
        <v>729.98</v>
      </c>
      <c r="F198" s="65">
        <v>44.26</v>
      </c>
      <c r="G198" s="65">
        <f t="shared" si="32"/>
        <v>32308.91</v>
      </c>
      <c r="H198" s="126">
        <f t="shared" si="28"/>
        <v>55.33</v>
      </c>
      <c r="I198" s="126">
        <f t="shared" si="33"/>
        <v>40395.83</v>
      </c>
      <c r="J198" s="70">
        <f t="shared" si="34"/>
        <v>32308.91</v>
      </c>
      <c r="K198" s="189">
        <f t="shared" si="27"/>
        <v>8.3503980341795396E-3</v>
      </c>
    </row>
    <row r="199" spans="1:11" ht="17.25" hidden="1" customHeight="1" x14ac:dyDescent="0.2">
      <c r="A199" s="63" t="s">
        <v>321</v>
      </c>
      <c r="B199" s="124" t="s">
        <v>322</v>
      </c>
      <c r="C199" s="64" t="s">
        <v>323</v>
      </c>
      <c r="D199" s="125" t="s">
        <v>4</v>
      </c>
      <c r="E199" s="65">
        <f>169.3+86.77+183.95</f>
        <v>440.02</v>
      </c>
      <c r="F199" s="65">
        <v>21.56</v>
      </c>
      <c r="G199" s="65">
        <f t="shared" si="32"/>
        <v>9486.83</v>
      </c>
      <c r="H199" s="126">
        <f t="shared" si="28"/>
        <v>26.95</v>
      </c>
      <c r="I199" s="126">
        <f t="shared" si="33"/>
        <v>11861.38</v>
      </c>
      <c r="J199" s="70">
        <f t="shared" si="34"/>
        <v>9486.83</v>
      </c>
      <c r="K199" s="189">
        <f t="shared" si="27"/>
        <v>2.4519175428418354E-3</v>
      </c>
    </row>
    <row r="200" spans="1:11" ht="15" hidden="1" customHeight="1" x14ac:dyDescent="0.2">
      <c r="A200" s="63" t="s">
        <v>324</v>
      </c>
      <c r="B200" s="124" t="s">
        <v>325</v>
      </c>
      <c r="C200" s="64" t="s">
        <v>326</v>
      </c>
      <c r="D200" s="125" t="s">
        <v>4</v>
      </c>
      <c r="E200" s="65">
        <f>169.3+86.77+183.95</f>
        <v>440.02</v>
      </c>
      <c r="F200" s="65">
        <v>44.26</v>
      </c>
      <c r="G200" s="65">
        <f t="shared" si="32"/>
        <v>19475.28</v>
      </c>
      <c r="H200" s="126">
        <f t="shared" si="28"/>
        <v>55.33</v>
      </c>
      <c r="I200" s="126">
        <f t="shared" si="33"/>
        <v>24349.94</v>
      </c>
      <c r="J200" s="70">
        <f t="shared" si="34"/>
        <v>19475.28</v>
      </c>
      <c r="K200" s="189">
        <f t="shared" si="27"/>
        <v>5.0334821962660431E-3</v>
      </c>
    </row>
    <row r="201" spans="1:11" hidden="1" x14ac:dyDescent="0.2">
      <c r="A201" s="63" t="s">
        <v>1066</v>
      </c>
      <c r="B201" s="124" t="s">
        <v>327</v>
      </c>
      <c r="C201" s="64" t="s">
        <v>328</v>
      </c>
      <c r="D201" s="125" t="s">
        <v>4</v>
      </c>
      <c r="E201" s="65">
        <f>282.15+87.95+79.9</f>
        <v>450</v>
      </c>
      <c r="F201" s="65">
        <v>119.25</v>
      </c>
      <c r="G201" s="65">
        <f t="shared" si="32"/>
        <v>53662.5</v>
      </c>
      <c r="H201" s="126">
        <f t="shared" si="28"/>
        <v>149.09</v>
      </c>
      <c r="I201" s="126">
        <f t="shared" si="33"/>
        <v>67094.22</v>
      </c>
      <c r="J201" s="70">
        <f t="shared" si="34"/>
        <v>53662.5</v>
      </c>
      <c r="K201" s="189">
        <f t="shared" si="27"/>
        <v>1.3869338562738023E-2</v>
      </c>
    </row>
    <row r="202" spans="1:11" ht="15.75" hidden="1" customHeight="1" x14ac:dyDescent="0.2">
      <c r="A202" s="63" t="s">
        <v>1131</v>
      </c>
      <c r="B202" s="124" t="s">
        <v>1231</v>
      </c>
      <c r="C202" s="64" t="s">
        <v>1232</v>
      </c>
      <c r="D202" s="125" t="s">
        <v>4</v>
      </c>
      <c r="E202" s="65">
        <v>30</v>
      </c>
      <c r="F202" s="65">
        <v>15.35</v>
      </c>
      <c r="G202" s="65">
        <f t="shared" si="32"/>
        <v>460.5</v>
      </c>
      <c r="H202" s="126">
        <f t="shared" si="28"/>
        <v>19.190000000000001</v>
      </c>
      <c r="I202" s="126">
        <f t="shared" si="33"/>
        <v>575.76</v>
      </c>
      <c r="J202" s="70">
        <f t="shared" si="34"/>
        <v>460.5</v>
      </c>
      <c r="K202" s="189">
        <f t="shared" si="27"/>
        <v>1.1901785833238756E-4</v>
      </c>
    </row>
    <row r="203" spans="1:11" ht="25.5" hidden="1" x14ac:dyDescent="0.2">
      <c r="A203" s="63" t="s">
        <v>1233</v>
      </c>
      <c r="B203" s="124" t="s">
        <v>897</v>
      </c>
      <c r="C203" s="64" t="s">
        <v>1089</v>
      </c>
      <c r="D203" s="125" t="s">
        <v>4</v>
      </c>
      <c r="E203" s="65">
        <f>338.6+93.54+167.9</f>
        <v>600.04000000000008</v>
      </c>
      <c r="F203" s="65">
        <v>12.16</v>
      </c>
      <c r="G203" s="65">
        <f t="shared" si="32"/>
        <v>7296.48</v>
      </c>
      <c r="H203" s="126">
        <f t="shared" si="28"/>
        <v>15.2</v>
      </c>
      <c r="I203" s="126">
        <f t="shared" si="33"/>
        <v>9122.7800000000007</v>
      </c>
      <c r="J203" s="70">
        <f t="shared" si="34"/>
        <v>7296.48</v>
      </c>
      <c r="K203" s="189">
        <f t="shared" si="27"/>
        <v>1.8858096040668658E-3</v>
      </c>
    </row>
    <row r="204" spans="1:11" x14ac:dyDescent="0.2">
      <c r="A204" s="127" t="s">
        <v>329</v>
      </c>
      <c r="B204" s="128"/>
      <c r="C204" s="66" t="s">
        <v>330</v>
      </c>
      <c r="D204" s="66"/>
      <c r="E204" s="141"/>
      <c r="F204" s="143">
        <f>SUM(F205:F208)</f>
        <v>56.11</v>
      </c>
      <c r="G204" s="143">
        <f>G205+G206+G207+G208</f>
        <v>11234.920000000002</v>
      </c>
      <c r="H204" s="129">
        <f>SUM(H205:H208)</f>
        <v>70.14</v>
      </c>
      <c r="I204" s="129">
        <f>SUM(I205:I208)</f>
        <v>14047</v>
      </c>
      <c r="J204" s="75">
        <f>SUM(J205:J208)</f>
        <v>11234.920000000002</v>
      </c>
      <c r="K204" s="189">
        <f t="shared" ref="K204:K267" si="35">I204/$I$431</f>
        <v>2.903716576342657E-3</v>
      </c>
    </row>
    <row r="205" spans="1:11" hidden="1" x14ac:dyDescent="0.2">
      <c r="A205" s="63" t="s">
        <v>331</v>
      </c>
      <c r="B205" s="124" t="s">
        <v>898</v>
      </c>
      <c r="C205" s="64" t="s">
        <v>332</v>
      </c>
      <c r="D205" s="125" t="s">
        <v>267</v>
      </c>
      <c r="E205" s="65">
        <f>1682+615+839.4</f>
        <v>3136.4</v>
      </c>
      <c r="F205" s="65">
        <v>1.36</v>
      </c>
      <c r="G205" s="65">
        <f t="shared" si="32"/>
        <v>4265.5</v>
      </c>
      <c r="H205" s="126">
        <f t="shared" si="28"/>
        <v>1.7</v>
      </c>
      <c r="I205" s="126">
        <f t="shared" si="33"/>
        <v>5333.15</v>
      </c>
      <c r="J205" s="70">
        <f>TRUNC(F205* E205, 2)</f>
        <v>4265.5</v>
      </c>
      <c r="K205" s="189">
        <f t="shared" si="35"/>
        <v>1.1024386743875446E-3</v>
      </c>
    </row>
    <row r="206" spans="1:11" ht="14.25" hidden="1" customHeight="1" x14ac:dyDescent="0.2">
      <c r="A206" s="63" t="s">
        <v>333</v>
      </c>
      <c r="B206" s="124" t="s">
        <v>899</v>
      </c>
      <c r="C206" s="64" t="s">
        <v>334</v>
      </c>
      <c r="D206" s="125" t="s">
        <v>267</v>
      </c>
      <c r="E206" s="65">
        <f>56.5+195.9+28</f>
        <v>280.39999999999998</v>
      </c>
      <c r="F206" s="65">
        <v>11.87</v>
      </c>
      <c r="G206" s="65">
        <f t="shared" si="32"/>
        <v>3328.34</v>
      </c>
      <c r="H206" s="126">
        <f t="shared" ref="H206:H269" si="36">TRUNC(F206*(1+I$8),2)</f>
        <v>14.84</v>
      </c>
      <c r="I206" s="126">
        <f t="shared" si="33"/>
        <v>4161.42</v>
      </c>
      <c r="J206" s="70">
        <f>TRUNC(F206* E206, 2)</f>
        <v>3328.34</v>
      </c>
      <c r="K206" s="189">
        <f t="shared" si="35"/>
        <v>8.602252605626724E-4</v>
      </c>
    </row>
    <row r="207" spans="1:11" ht="26.25" hidden="1" customHeight="1" x14ac:dyDescent="0.2">
      <c r="A207" s="63" t="s">
        <v>335</v>
      </c>
      <c r="B207" s="124" t="s">
        <v>900</v>
      </c>
      <c r="C207" s="64" t="s">
        <v>336</v>
      </c>
      <c r="D207" s="125" t="s">
        <v>4</v>
      </c>
      <c r="E207" s="65">
        <f>50.8+14.04+25.2</f>
        <v>90.04</v>
      </c>
      <c r="F207" s="65">
        <v>20.92</v>
      </c>
      <c r="G207" s="65">
        <f t="shared" si="32"/>
        <v>1883.63</v>
      </c>
      <c r="H207" s="126">
        <f t="shared" si="36"/>
        <v>26.15</v>
      </c>
      <c r="I207" s="126">
        <f t="shared" si="33"/>
        <v>2355.1</v>
      </c>
      <c r="J207" s="70">
        <f>TRUNC(F207* E207, 2)</f>
        <v>1883.63</v>
      </c>
      <c r="K207" s="189">
        <f t="shared" si="35"/>
        <v>4.8683298276817758E-4</v>
      </c>
    </row>
    <row r="208" spans="1:11" ht="30" hidden="1" customHeight="1" x14ac:dyDescent="0.2">
      <c r="A208" s="63" t="s">
        <v>337</v>
      </c>
      <c r="B208" s="124" t="s">
        <v>901</v>
      </c>
      <c r="C208" s="64" t="s">
        <v>338</v>
      </c>
      <c r="D208" s="125" t="s">
        <v>4</v>
      </c>
      <c r="E208" s="65">
        <f>45.15+12.48+22.4</f>
        <v>80.03</v>
      </c>
      <c r="F208" s="65">
        <v>21.96</v>
      </c>
      <c r="G208" s="65">
        <f t="shared" si="32"/>
        <v>1757.45</v>
      </c>
      <c r="H208" s="126">
        <f t="shared" si="36"/>
        <v>27.45</v>
      </c>
      <c r="I208" s="126">
        <f t="shared" si="33"/>
        <v>2197.33</v>
      </c>
      <c r="J208" s="70">
        <f>TRUNC(F208* E208, 2)</f>
        <v>1757.45</v>
      </c>
      <c r="K208" s="189">
        <f t="shared" si="35"/>
        <v>4.5421965862426213E-4</v>
      </c>
    </row>
    <row r="209" spans="1:11" x14ac:dyDescent="0.2">
      <c r="A209" s="127" t="s">
        <v>339</v>
      </c>
      <c r="B209" s="128"/>
      <c r="C209" s="66" t="s">
        <v>340</v>
      </c>
      <c r="D209" s="66"/>
      <c r="E209" s="141"/>
      <c r="F209" s="143">
        <f>SUM(F210:F217)</f>
        <v>1308.99</v>
      </c>
      <c r="G209" s="143">
        <f>SUM(G210:G217)</f>
        <v>97496.960000000006</v>
      </c>
      <c r="H209" s="129">
        <f>SUM(H210:H217)</f>
        <v>1636.6</v>
      </c>
      <c r="I209" s="129">
        <f>SUM(I210:I217)</f>
        <v>121900.4</v>
      </c>
      <c r="J209" s="75">
        <f>SUM(J210:J217)</f>
        <v>97496.960000000006</v>
      </c>
      <c r="K209" s="189">
        <f t="shared" si="35"/>
        <v>2.5198562834968349E-2</v>
      </c>
    </row>
    <row r="210" spans="1:11" ht="29.25" hidden="1" customHeight="1" x14ac:dyDescent="0.2">
      <c r="A210" s="63" t="s">
        <v>341</v>
      </c>
      <c r="B210" s="124" t="s">
        <v>902</v>
      </c>
      <c r="C210" s="64" t="s">
        <v>342</v>
      </c>
      <c r="D210" s="125" t="s">
        <v>9</v>
      </c>
      <c r="E210" s="65">
        <f>16.95+4.68+8.4</f>
        <v>30.03</v>
      </c>
      <c r="F210" s="65">
        <v>681.59</v>
      </c>
      <c r="G210" s="65">
        <f t="shared" si="32"/>
        <v>20468.14</v>
      </c>
      <c r="H210" s="126">
        <f t="shared" si="36"/>
        <v>852.19</v>
      </c>
      <c r="I210" s="126">
        <f t="shared" si="33"/>
        <v>25591.31</v>
      </c>
      <c r="J210" s="70">
        <f>TRUNC(F210 * E210, 2)</f>
        <v>20468.14</v>
      </c>
      <c r="K210" s="189">
        <f t="shared" si="35"/>
        <v>5.2900911979300632E-3</v>
      </c>
    </row>
    <row r="211" spans="1:11" ht="41.25" hidden="1" customHeight="1" x14ac:dyDescent="0.2">
      <c r="A211" s="63" t="s">
        <v>343</v>
      </c>
      <c r="B211" s="124" t="s">
        <v>903</v>
      </c>
      <c r="C211" s="64" t="s">
        <v>344</v>
      </c>
      <c r="D211" s="125" t="s">
        <v>4</v>
      </c>
      <c r="E211" s="65">
        <f>16.95+4.68+8.4</f>
        <v>30.03</v>
      </c>
      <c r="F211" s="65">
        <v>28.01</v>
      </c>
      <c r="G211" s="65">
        <f t="shared" si="32"/>
        <v>841.14</v>
      </c>
      <c r="H211" s="126">
        <f t="shared" si="36"/>
        <v>35.020000000000003</v>
      </c>
      <c r="I211" s="126">
        <f t="shared" si="33"/>
        <v>1051.67</v>
      </c>
      <c r="J211" s="70">
        <f t="shared" ref="J211:J217" si="37">TRUNC(F211 * E211, 2)</f>
        <v>841.14</v>
      </c>
      <c r="K211" s="189">
        <f t="shared" si="35"/>
        <v>2.1739528809299366E-4</v>
      </c>
    </row>
    <row r="212" spans="1:11" ht="29.25" hidden="1" customHeight="1" x14ac:dyDescent="0.2">
      <c r="A212" s="63" t="s">
        <v>345</v>
      </c>
      <c r="B212" s="124" t="s">
        <v>346</v>
      </c>
      <c r="C212" s="64" t="s">
        <v>347</v>
      </c>
      <c r="D212" s="125" t="s">
        <v>4</v>
      </c>
      <c r="E212" s="65">
        <f>39.5+30.92+39.6</f>
        <v>110.02000000000001</v>
      </c>
      <c r="F212" s="65">
        <v>129.84</v>
      </c>
      <c r="G212" s="65">
        <f t="shared" si="32"/>
        <v>14284.99</v>
      </c>
      <c r="H212" s="126">
        <f t="shared" si="36"/>
        <v>162.33000000000001</v>
      </c>
      <c r="I212" s="126">
        <f t="shared" si="33"/>
        <v>17860.52</v>
      </c>
      <c r="J212" s="70">
        <f t="shared" si="37"/>
        <v>14284.99</v>
      </c>
      <c r="K212" s="189">
        <f t="shared" si="35"/>
        <v>3.6920259120167688E-3</v>
      </c>
    </row>
    <row r="213" spans="1:11" ht="29.25" hidden="1" customHeight="1" x14ac:dyDescent="0.2">
      <c r="A213" s="63" t="s">
        <v>348</v>
      </c>
      <c r="B213" s="124" t="s">
        <v>904</v>
      </c>
      <c r="C213" s="64" t="s">
        <v>1234</v>
      </c>
      <c r="D213" s="125" t="s">
        <v>4</v>
      </c>
      <c r="E213" s="65">
        <f>39.5+39.6+30.92</f>
        <v>110.02</v>
      </c>
      <c r="F213" s="65">
        <v>125.07</v>
      </c>
      <c r="G213" s="65">
        <f t="shared" si="32"/>
        <v>13760.2</v>
      </c>
      <c r="H213" s="126">
        <f t="shared" si="36"/>
        <v>156.37</v>
      </c>
      <c r="I213" s="126">
        <f t="shared" si="33"/>
        <v>17204.37</v>
      </c>
      <c r="J213" s="70">
        <f t="shared" si="37"/>
        <v>13760.2</v>
      </c>
      <c r="K213" s="189">
        <f t="shared" si="35"/>
        <v>3.5563902865047561E-3</v>
      </c>
    </row>
    <row r="214" spans="1:11" ht="44.25" hidden="1" customHeight="1" x14ac:dyDescent="0.2">
      <c r="A214" s="63" t="s">
        <v>349</v>
      </c>
      <c r="B214" s="124" t="s">
        <v>905</v>
      </c>
      <c r="C214" s="64" t="s">
        <v>350</v>
      </c>
      <c r="D214" s="125" t="s">
        <v>4</v>
      </c>
      <c r="E214" s="65">
        <f>28.2+17.8+14</f>
        <v>60</v>
      </c>
      <c r="F214" s="65">
        <v>62.22</v>
      </c>
      <c r="G214" s="65">
        <f t="shared" si="32"/>
        <v>3733.2</v>
      </c>
      <c r="H214" s="126">
        <f t="shared" si="36"/>
        <v>77.790000000000006</v>
      </c>
      <c r="I214" s="126">
        <f t="shared" si="33"/>
        <v>4667.6099999999997</v>
      </c>
      <c r="J214" s="70">
        <f t="shared" si="37"/>
        <v>3733.2</v>
      </c>
      <c r="K214" s="189">
        <f t="shared" si="35"/>
        <v>9.6486200106092026E-4</v>
      </c>
    </row>
    <row r="215" spans="1:11" ht="27.75" hidden="1" customHeight="1" x14ac:dyDescent="0.2">
      <c r="A215" s="63" t="s">
        <v>351</v>
      </c>
      <c r="B215" s="124" t="s">
        <v>906</v>
      </c>
      <c r="C215" s="64" t="s">
        <v>352</v>
      </c>
      <c r="D215" s="125" t="s">
        <v>267</v>
      </c>
      <c r="E215" s="65">
        <f>14.1+13.9+7</f>
        <v>35</v>
      </c>
      <c r="F215" s="65">
        <v>9.23</v>
      </c>
      <c r="G215" s="65">
        <f t="shared" si="32"/>
        <v>323.05</v>
      </c>
      <c r="H215" s="126">
        <f t="shared" si="36"/>
        <v>11.54</v>
      </c>
      <c r="I215" s="126">
        <f t="shared" si="33"/>
        <v>403.9</v>
      </c>
      <c r="J215" s="70">
        <f t="shared" si="37"/>
        <v>323.05</v>
      </c>
      <c r="K215" s="189">
        <f t="shared" si="35"/>
        <v>8.3491928894767492E-5</v>
      </c>
    </row>
    <row r="216" spans="1:11" ht="28.5" hidden="1" customHeight="1" x14ac:dyDescent="0.2">
      <c r="A216" s="63" t="s">
        <v>353</v>
      </c>
      <c r="B216" s="124" t="s">
        <v>354</v>
      </c>
      <c r="C216" s="64" t="s">
        <v>355</v>
      </c>
      <c r="D216" s="125" t="s">
        <v>4</v>
      </c>
      <c r="E216" s="65">
        <f>225.75+112.36+151.9</f>
        <v>490.01</v>
      </c>
      <c r="F216" s="65">
        <v>66.349999999999994</v>
      </c>
      <c r="G216" s="65">
        <f t="shared" si="32"/>
        <v>32512.16</v>
      </c>
      <c r="H216" s="126">
        <f t="shared" si="36"/>
        <v>82.95</v>
      </c>
      <c r="I216" s="126">
        <f t="shared" si="33"/>
        <v>40649.949999999997</v>
      </c>
      <c r="J216" s="70">
        <f t="shared" si="37"/>
        <v>32512.16</v>
      </c>
      <c r="K216" s="189">
        <f t="shared" si="35"/>
        <v>8.4029282866448472E-3</v>
      </c>
    </row>
    <row r="217" spans="1:11" ht="28.5" hidden="1" customHeight="1" x14ac:dyDescent="0.2">
      <c r="A217" s="63" t="s">
        <v>356</v>
      </c>
      <c r="B217" s="124" t="s">
        <v>907</v>
      </c>
      <c r="C217" s="64" t="s">
        <v>357</v>
      </c>
      <c r="D217" s="125" t="s">
        <v>4</v>
      </c>
      <c r="E217" s="65">
        <f>28.2+17.8+10</f>
        <v>56</v>
      </c>
      <c r="F217" s="65">
        <v>206.68</v>
      </c>
      <c r="G217" s="65">
        <f t="shared" si="32"/>
        <v>11574.08</v>
      </c>
      <c r="H217" s="126">
        <f t="shared" si="36"/>
        <v>258.41000000000003</v>
      </c>
      <c r="I217" s="126">
        <f t="shared" si="33"/>
        <v>14471.07</v>
      </c>
      <c r="J217" s="70">
        <f t="shared" si="37"/>
        <v>11574.08</v>
      </c>
      <c r="K217" s="189">
        <f t="shared" si="35"/>
        <v>2.9913779338232313E-3</v>
      </c>
    </row>
    <row r="218" spans="1:11" x14ac:dyDescent="0.2">
      <c r="A218" s="127" t="s">
        <v>358</v>
      </c>
      <c r="B218" s="128"/>
      <c r="C218" s="66" t="s">
        <v>359</v>
      </c>
      <c r="D218" s="66"/>
      <c r="E218" s="141"/>
      <c r="F218" s="143">
        <f>SUM(F219:F222)</f>
        <v>1443.98</v>
      </c>
      <c r="G218" s="143">
        <f>G219+G220+G221+G222</f>
        <v>38273.340000000004</v>
      </c>
      <c r="H218" s="129">
        <f>SUM(H219:H222)</f>
        <v>1805.3899999999999</v>
      </c>
      <c r="I218" s="129">
        <f>SUM(I219:I222)</f>
        <v>47853.130000000005</v>
      </c>
      <c r="J218" s="75">
        <f>SUM(J219:J222)</f>
        <v>38273.340000000004</v>
      </c>
      <c r="K218" s="189">
        <f t="shared" si="35"/>
        <v>9.8919290105275223E-3</v>
      </c>
    </row>
    <row r="219" spans="1:11" ht="28.5" hidden="1" customHeight="1" x14ac:dyDescent="0.2">
      <c r="A219" s="63" t="s">
        <v>360</v>
      </c>
      <c r="B219" s="124" t="s">
        <v>908</v>
      </c>
      <c r="C219" s="64" t="s">
        <v>361</v>
      </c>
      <c r="D219" s="125" t="s">
        <v>4</v>
      </c>
      <c r="E219" s="65">
        <f>8.5+12.34+4.2</f>
        <v>25.04</v>
      </c>
      <c r="F219" s="65">
        <v>722.04</v>
      </c>
      <c r="G219" s="65">
        <f t="shared" si="32"/>
        <v>18079.88</v>
      </c>
      <c r="H219" s="126">
        <f t="shared" si="36"/>
        <v>902.76</v>
      </c>
      <c r="I219" s="126">
        <f t="shared" si="33"/>
        <v>22605.27</v>
      </c>
      <c r="J219" s="70">
        <f>TRUNC(F219* E219, 2)</f>
        <v>18079.88</v>
      </c>
      <c r="K219" s="189">
        <f t="shared" si="35"/>
        <v>4.6728338585962387E-3</v>
      </c>
    </row>
    <row r="220" spans="1:11" hidden="1" x14ac:dyDescent="0.2">
      <c r="A220" s="63" t="s">
        <v>362</v>
      </c>
      <c r="B220" s="124" t="s">
        <v>909</v>
      </c>
      <c r="C220" s="64" t="s">
        <v>363</v>
      </c>
      <c r="D220" s="125" t="s">
        <v>267</v>
      </c>
      <c r="E220" s="65">
        <f>11.3+3.12+5.6</f>
        <v>20.020000000000003</v>
      </c>
      <c r="F220" s="65">
        <v>125.03</v>
      </c>
      <c r="G220" s="65">
        <f t="shared" si="32"/>
        <v>2503.1</v>
      </c>
      <c r="H220" s="126">
        <f t="shared" si="36"/>
        <v>156.32</v>
      </c>
      <c r="I220" s="126">
        <f t="shared" si="33"/>
        <v>3129.62</v>
      </c>
      <c r="J220" s="70">
        <f>TRUNC(F220* E220, 2)</f>
        <v>2503.1</v>
      </c>
      <c r="K220" s="189">
        <f t="shared" si="35"/>
        <v>6.4693738674830958E-4</v>
      </c>
    </row>
    <row r="221" spans="1:11" ht="28.5" hidden="1" customHeight="1" x14ac:dyDescent="0.2">
      <c r="A221" s="63" t="s">
        <v>364</v>
      </c>
      <c r="B221" s="124" t="s">
        <v>365</v>
      </c>
      <c r="C221" s="64" t="s">
        <v>366</v>
      </c>
      <c r="D221" s="125" t="s">
        <v>267</v>
      </c>
      <c r="E221" s="65">
        <f>16.95+4.68+5.6</f>
        <v>27.229999999999997</v>
      </c>
      <c r="F221" s="65">
        <v>82.03</v>
      </c>
      <c r="G221" s="65">
        <f t="shared" si="32"/>
        <v>2233.67</v>
      </c>
      <c r="H221" s="126">
        <f t="shared" si="36"/>
        <v>102.56</v>
      </c>
      <c r="I221" s="126">
        <f t="shared" si="33"/>
        <v>2792.75</v>
      </c>
      <c r="J221" s="70">
        <f>TRUNC(F221* E221, 2)</f>
        <v>2233.67</v>
      </c>
      <c r="K221" s="189">
        <f t="shared" si="35"/>
        <v>5.7730152122025728E-4</v>
      </c>
    </row>
    <row r="222" spans="1:11" ht="44.25" hidden="1" customHeight="1" x14ac:dyDescent="0.2">
      <c r="A222" s="63" t="s">
        <v>367</v>
      </c>
      <c r="B222" s="124" t="s">
        <v>368</v>
      </c>
      <c r="C222" s="64" t="s">
        <v>369</v>
      </c>
      <c r="D222" s="125" t="s">
        <v>267</v>
      </c>
      <c r="E222" s="65">
        <f>11.3+13.12+5.6</f>
        <v>30.020000000000003</v>
      </c>
      <c r="F222" s="65">
        <v>514.88</v>
      </c>
      <c r="G222" s="65">
        <f t="shared" si="32"/>
        <v>15456.69</v>
      </c>
      <c r="H222" s="126">
        <f t="shared" si="36"/>
        <v>643.75</v>
      </c>
      <c r="I222" s="126">
        <f t="shared" si="33"/>
        <v>19325.490000000002</v>
      </c>
      <c r="J222" s="70">
        <f>TRUNC(F222* E222, 2)</f>
        <v>15456.69</v>
      </c>
      <c r="K222" s="189">
        <f t="shared" si="35"/>
        <v>3.9948562439627152E-3</v>
      </c>
    </row>
    <row r="223" spans="1:11" x14ac:dyDescent="0.2">
      <c r="A223" s="127" t="s">
        <v>370</v>
      </c>
      <c r="B223" s="128"/>
      <c r="C223" s="66" t="s">
        <v>771</v>
      </c>
      <c r="D223" s="66"/>
      <c r="E223" s="141"/>
      <c r="F223" s="143">
        <f>F224+F225+F226</f>
        <v>5554.43</v>
      </c>
      <c r="G223" s="143">
        <f>G224+G225+G226</f>
        <v>51443.12999999999</v>
      </c>
      <c r="H223" s="129">
        <f>H224+H225+H226</f>
        <v>6944.6900000000005</v>
      </c>
      <c r="I223" s="129">
        <f>SUM(I224:I226)</f>
        <v>64319.34</v>
      </c>
      <c r="J223" s="75">
        <f>SUM(J224:J226)</f>
        <v>51443.12999999999</v>
      </c>
      <c r="K223" s="189">
        <f t="shared" si="35"/>
        <v>1.3295731027081889E-2</v>
      </c>
    </row>
    <row r="224" spans="1:11" ht="30.75" hidden="1" customHeight="1" x14ac:dyDescent="0.2">
      <c r="A224" s="63" t="s">
        <v>371</v>
      </c>
      <c r="B224" s="124" t="s">
        <v>910</v>
      </c>
      <c r="C224" s="64" t="s">
        <v>372</v>
      </c>
      <c r="D224" s="125" t="s">
        <v>168</v>
      </c>
      <c r="E224" s="65">
        <f>12+12+15</f>
        <v>39</v>
      </c>
      <c r="F224" s="65">
        <v>36.67</v>
      </c>
      <c r="G224" s="65">
        <f t="shared" si="32"/>
        <v>1430.13</v>
      </c>
      <c r="H224" s="126">
        <f t="shared" si="36"/>
        <v>45.84</v>
      </c>
      <c r="I224" s="126">
        <f t="shared" si="33"/>
        <v>1788.09</v>
      </c>
      <c r="J224" s="70">
        <f>TRUNC(F224 * E224, 2)</f>
        <v>1430.13</v>
      </c>
      <c r="K224" s="189">
        <f t="shared" si="35"/>
        <v>3.6962387506175989E-4</v>
      </c>
    </row>
    <row r="225" spans="1:11" ht="41.25" hidden="1" customHeight="1" x14ac:dyDescent="0.2">
      <c r="A225" s="63" t="s">
        <v>373</v>
      </c>
      <c r="B225" s="124" t="s">
        <v>374</v>
      </c>
      <c r="C225" s="64" t="s">
        <v>375</v>
      </c>
      <c r="D225" s="125" t="s">
        <v>168</v>
      </c>
      <c r="E225" s="65">
        <f>5+1+1</f>
        <v>7</v>
      </c>
      <c r="F225" s="65">
        <v>4706.6000000000004</v>
      </c>
      <c r="G225" s="65">
        <f t="shared" si="32"/>
        <v>32946.199999999997</v>
      </c>
      <c r="H225" s="126">
        <f t="shared" si="36"/>
        <v>5884.66</v>
      </c>
      <c r="I225" s="126">
        <f t="shared" si="33"/>
        <v>41192.629999999997</v>
      </c>
      <c r="J225" s="70">
        <f>TRUNC(F225 * E225, 2)</f>
        <v>32946.199999999997</v>
      </c>
      <c r="K225" s="189">
        <f t="shared" si="35"/>
        <v>8.5151080340392822E-3</v>
      </c>
    </row>
    <row r="226" spans="1:11" ht="81.75" hidden="1" customHeight="1" x14ac:dyDescent="0.2">
      <c r="A226" s="63" t="s">
        <v>376</v>
      </c>
      <c r="B226" s="124" t="s">
        <v>377</v>
      </c>
      <c r="C226" s="64" t="s">
        <v>1072</v>
      </c>
      <c r="D226" s="125" t="s">
        <v>267</v>
      </c>
      <c r="E226" s="65">
        <f>8.5+8.34+4.2</f>
        <v>21.04</v>
      </c>
      <c r="F226" s="65">
        <v>811.16</v>
      </c>
      <c r="G226" s="65">
        <f t="shared" si="32"/>
        <v>17066.8</v>
      </c>
      <c r="H226" s="126">
        <f t="shared" si="36"/>
        <v>1014.19</v>
      </c>
      <c r="I226" s="126">
        <f t="shared" si="33"/>
        <v>21338.62</v>
      </c>
      <c r="J226" s="70">
        <f>TRUNC(F226 * E226, 2)</f>
        <v>17066.8</v>
      </c>
      <c r="K226" s="189">
        <f t="shared" si="35"/>
        <v>4.4109991179808461E-3</v>
      </c>
    </row>
    <row r="227" spans="1:11" x14ac:dyDescent="0.2">
      <c r="A227" s="127" t="s">
        <v>378</v>
      </c>
      <c r="B227" s="128"/>
      <c r="C227" s="66" t="s">
        <v>379</v>
      </c>
      <c r="D227" s="66"/>
      <c r="E227" s="141"/>
      <c r="F227" s="143">
        <f>SUM(F228:F254)</f>
        <v>6826.4300000000012</v>
      </c>
      <c r="G227" s="143">
        <f>SUM(G228:G254)</f>
        <v>112612.26999999999</v>
      </c>
      <c r="H227" s="129">
        <f>SUM(H228:H254)</f>
        <v>8534.9700000000012</v>
      </c>
      <c r="I227" s="129">
        <f>SUM(I228:I254)</f>
        <v>140799</v>
      </c>
      <c r="J227" s="75">
        <f>SUM(J228:J254)</f>
        <v>112612.26999999999</v>
      </c>
      <c r="K227" s="189">
        <f t="shared" si="35"/>
        <v>2.9105174786963034E-2</v>
      </c>
    </row>
    <row r="228" spans="1:11" ht="30.75" hidden="1" customHeight="1" x14ac:dyDescent="0.2">
      <c r="A228" s="63" t="s">
        <v>380</v>
      </c>
      <c r="B228" s="124" t="s">
        <v>911</v>
      </c>
      <c r="C228" s="64" t="s">
        <v>381</v>
      </c>
      <c r="D228" s="125" t="s">
        <v>168</v>
      </c>
      <c r="E228" s="65">
        <f>4+2+3</f>
        <v>9</v>
      </c>
      <c r="F228" s="65">
        <v>772.29</v>
      </c>
      <c r="G228" s="65">
        <f t="shared" si="32"/>
        <v>6950.61</v>
      </c>
      <c r="H228" s="126">
        <f t="shared" si="36"/>
        <v>965.59</v>
      </c>
      <c r="I228" s="126">
        <f t="shared" si="33"/>
        <v>8690.34</v>
      </c>
      <c r="J228" s="70">
        <f>TRUNC(F228 * E228, 2)</f>
        <v>6950.61</v>
      </c>
      <c r="K228" s="189">
        <f t="shared" si="35"/>
        <v>1.7964180474160777E-3</v>
      </c>
    </row>
    <row r="229" spans="1:11" ht="30" hidden="1" customHeight="1" x14ac:dyDescent="0.2">
      <c r="A229" s="63" t="s">
        <v>382</v>
      </c>
      <c r="B229" s="124" t="s">
        <v>912</v>
      </c>
      <c r="C229" s="64" t="s">
        <v>383</v>
      </c>
      <c r="D229" s="125" t="s">
        <v>168</v>
      </c>
      <c r="E229" s="65">
        <f>7+7+5</f>
        <v>19</v>
      </c>
      <c r="F229" s="65">
        <v>503.36</v>
      </c>
      <c r="G229" s="65">
        <f t="shared" si="32"/>
        <v>9563.84</v>
      </c>
      <c r="H229" s="126">
        <f t="shared" si="36"/>
        <v>629.35</v>
      </c>
      <c r="I229" s="126">
        <f t="shared" si="33"/>
        <v>11957.66</v>
      </c>
      <c r="J229" s="70">
        <f t="shared" ref="J229:J254" si="38">TRUNC(F229 * E229, 2)</f>
        <v>9563.84</v>
      </c>
      <c r="K229" s="189">
        <f t="shared" si="35"/>
        <v>2.4718200011582211E-3</v>
      </c>
    </row>
    <row r="230" spans="1:11" ht="16.5" hidden="1" customHeight="1" x14ac:dyDescent="0.2">
      <c r="A230" s="63" t="s">
        <v>384</v>
      </c>
      <c r="B230" s="124" t="s">
        <v>913</v>
      </c>
      <c r="C230" s="64" t="s">
        <v>385</v>
      </c>
      <c r="D230" s="125" t="s">
        <v>168</v>
      </c>
      <c r="E230" s="65">
        <f>29+15+25</f>
        <v>69</v>
      </c>
      <c r="F230" s="65">
        <v>37.18</v>
      </c>
      <c r="G230" s="65">
        <f t="shared" si="32"/>
        <v>2565.42</v>
      </c>
      <c r="H230" s="126">
        <f t="shared" si="36"/>
        <v>46.48</v>
      </c>
      <c r="I230" s="126">
        <f t="shared" si="33"/>
        <v>3207.54</v>
      </c>
      <c r="J230" s="70">
        <f t="shared" si="38"/>
        <v>2565.42</v>
      </c>
      <c r="K230" s="189">
        <f t="shared" si="35"/>
        <v>6.630445694655176E-4</v>
      </c>
    </row>
    <row r="231" spans="1:11" ht="16.5" hidden="1" customHeight="1" x14ac:dyDescent="0.2">
      <c r="A231" s="63" t="s">
        <v>386</v>
      </c>
      <c r="B231" s="124" t="s">
        <v>387</v>
      </c>
      <c r="C231" s="64" t="s">
        <v>388</v>
      </c>
      <c r="D231" s="125" t="s">
        <v>168</v>
      </c>
      <c r="E231" s="65">
        <f>6+5+5</f>
        <v>16</v>
      </c>
      <c r="F231" s="65">
        <v>660.23</v>
      </c>
      <c r="G231" s="65">
        <f t="shared" si="32"/>
        <v>10563.68</v>
      </c>
      <c r="H231" s="126">
        <f t="shared" si="36"/>
        <v>825.48</v>
      </c>
      <c r="I231" s="126">
        <f t="shared" si="33"/>
        <v>13207.76</v>
      </c>
      <c r="J231" s="70">
        <f t="shared" si="38"/>
        <v>10563.68</v>
      </c>
      <c r="K231" s="189">
        <f t="shared" si="35"/>
        <v>2.7302336191610656E-3</v>
      </c>
    </row>
    <row r="232" spans="1:11" ht="30" hidden="1" customHeight="1" x14ac:dyDescent="0.2">
      <c r="A232" s="63" t="s">
        <v>389</v>
      </c>
      <c r="B232" s="124" t="s">
        <v>914</v>
      </c>
      <c r="C232" s="64" t="s">
        <v>390</v>
      </c>
      <c r="D232" s="125" t="s">
        <v>168</v>
      </c>
      <c r="E232" s="65">
        <f>3+3+3</f>
        <v>9</v>
      </c>
      <c r="F232" s="65">
        <v>147.05000000000001</v>
      </c>
      <c r="G232" s="65">
        <f t="shared" si="32"/>
        <v>1323.45</v>
      </c>
      <c r="H232" s="126">
        <f t="shared" si="36"/>
        <v>183.85</v>
      </c>
      <c r="I232" s="126">
        <f t="shared" si="33"/>
        <v>1654.7</v>
      </c>
      <c r="J232" s="70">
        <f t="shared" si="38"/>
        <v>1323.45</v>
      </c>
      <c r="K232" s="189">
        <f t="shared" si="35"/>
        <v>3.420502469476895E-4</v>
      </c>
    </row>
    <row r="233" spans="1:11" ht="25.5" hidden="1" x14ac:dyDescent="0.2">
      <c r="A233" s="63" t="s">
        <v>391</v>
      </c>
      <c r="B233" s="124" t="s">
        <v>915</v>
      </c>
      <c r="C233" s="64" t="s">
        <v>1235</v>
      </c>
      <c r="D233" s="125" t="s">
        <v>168</v>
      </c>
      <c r="E233" s="65">
        <f>12+5+7</f>
        <v>24</v>
      </c>
      <c r="F233" s="65">
        <v>723.45</v>
      </c>
      <c r="G233" s="65">
        <f t="shared" si="32"/>
        <v>17362.8</v>
      </c>
      <c r="H233" s="126">
        <f t="shared" si="36"/>
        <v>904.52</v>
      </c>
      <c r="I233" s="126">
        <f t="shared" si="33"/>
        <v>21708.7</v>
      </c>
      <c r="J233" s="70">
        <f t="shared" si="38"/>
        <v>17362.8</v>
      </c>
      <c r="K233" s="189">
        <f t="shared" si="35"/>
        <v>4.4874999673132935E-3</v>
      </c>
    </row>
    <row r="234" spans="1:11" ht="18" hidden="1" customHeight="1" x14ac:dyDescent="0.2">
      <c r="A234" s="63" t="s">
        <v>392</v>
      </c>
      <c r="B234" s="124" t="s">
        <v>393</v>
      </c>
      <c r="C234" s="64" t="s">
        <v>394</v>
      </c>
      <c r="D234" s="125" t="s">
        <v>168</v>
      </c>
      <c r="E234" s="65">
        <f>17+5+9</f>
        <v>31</v>
      </c>
      <c r="F234" s="65">
        <v>150.85</v>
      </c>
      <c r="G234" s="65">
        <f t="shared" si="32"/>
        <v>4676.3500000000004</v>
      </c>
      <c r="H234" s="126">
        <f t="shared" si="36"/>
        <v>188.6</v>
      </c>
      <c r="I234" s="126">
        <f t="shared" si="33"/>
        <v>5846.84</v>
      </c>
      <c r="J234" s="70">
        <f t="shared" si="38"/>
        <v>4676.3500000000004</v>
      </c>
      <c r="K234" s="189">
        <f t="shared" si="35"/>
        <v>1.2086257725651955E-3</v>
      </c>
    </row>
    <row r="235" spans="1:11" ht="27.75" hidden="1" customHeight="1" x14ac:dyDescent="0.2">
      <c r="A235" s="63" t="s">
        <v>395</v>
      </c>
      <c r="B235" s="124" t="s">
        <v>916</v>
      </c>
      <c r="C235" s="64" t="s">
        <v>396</v>
      </c>
      <c r="D235" s="125" t="s">
        <v>168</v>
      </c>
      <c r="E235" s="65">
        <f>6+3+3</f>
        <v>12</v>
      </c>
      <c r="F235" s="65">
        <v>115.48</v>
      </c>
      <c r="G235" s="65">
        <f t="shared" si="32"/>
        <v>1385.76</v>
      </c>
      <c r="H235" s="126">
        <f t="shared" si="36"/>
        <v>144.38</v>
      </c>
      <c r="I235" s="126">
        <f t="shared" si="33"/>
        <v>1732.61</v>
      </c>
      <c r="J235" s="70">
        <f t="shared" si="38"/>
        <v>1385.76</v>
      </c>
      <c r="K235" s="189">
        <f t="shared" si="35"/>
        <v>3.5815536252132484E-4</v>
      </c>
    </row>
    <row r="236" spans="1:11" ht="16.5" hidden="1" customHeight="1" x14ac:dyDescent="0.2">
      <c r="A236" s="63" t="s">
        <v>397</v>
      </c>
      <c r="B236" s="124" t="s">
        <v>398</v>
      </c>
      <c r="C236" s="64" t="s">
        <v>399</v>
      </c>
      <c r="D236" s="125" t="s">
        <v>168</v>
      </c>
      <c r="E236" s="65">
        <f>6+2+3</f>
        <v>11</v>
      </c>
      <c r="F236" s="65">
        <v>51.06</v>
      </c>
      <c r="G236" s="65">
        <f t="shared" si="32"/>
        <v>561.66</v>
      </c>
      <c r="H236" s="126">
        <f t="shared" si="36"/>
        <v>63.84</v>
      </c>
      <c r="I236" s="126">
        <f t="shared" si="33"/>
        <v>702.24</v>
      </c>
      <c r="J236" s="70">
        <f t="shared" si="38"/>
        <v>561.66</v>
      </c>
      <c r="K236" s="189">
        <f t="shared" si="35"/>
        <v>1.4516309023783494E-4</v>
      </c>
    </row>
    <row r="237" spans="1:11" hidden="1" x14ac:dyDescent="0.2">
      <c r="A237" s="63" t="s">
        <v>400</v>
      </c>
      <c r="B237" s="124" t="s">
        <v>401</v>
      </c>
      <c r="C237" s="64" t="s">
        <v>402</v>
      </c>
      <c r="D237" s="125" t="s">
        <v>168</v>
      </c>
      <c r="E237" s="65">
        <f>9+3+5</f>
        <v>17</v>
      </c>
      <c r="F237" s="65">
        <v>119.1</v>
      </c>
      <c r="G237" s="65">
        <f t="shared" si="32"/>
        <v>2024.7</v>
      </c>
      <c r="H237" s="126">
        <f t="shared" si="36"/>
        <v>148.91</v>
      </c>
      <c r="I237" s="126">
        <f t="shared" si="33"/>
        <v>2531.48</v>
      </c>
      <c r="J237" s="70">
        <f t="shared" si="38"/>
        <v>2024.7</v>
      </c>
      <c r="K237" s="189">
        <f t="shared" si="35"/>
        <v>5.2329326110058438E-4</v>
      </c>
    </row>
    <row r="238" spans="1:11" ht="28.5" hidden="1" customHeight="1" x14ac:dyDescent="0.2">
      <c r="A238" s="63" t="s">
        <v>403</v>
      </c>
      <c r="B238" s="124" t="s">
        <v>917</v>
      </c>
      <c r="C238" s="64" t="s">
        <v>404</v>
      </c>
      <c r="D238" s="125" t="s">
        <v>168</v>
      </c>
      <c r="E238" s="65">
        <f>9+3+5</f>
        <v>17</v>
      </c>
      <c r="F238" s="65">
        <v>83.95</v>
      </c>
      <c r="G238" s="65">
        <f t="shared" si="32"/>
        <v>1427.15</v>
      </c>
      <c r="H238" s="126">
        <f t="shared" si="36"/>
        <v>104.96</v>
      </c>
      <c r="I238" s="126">
        <f t="shared" si="33"/>
        <v>1784.36</v>
      </c>
      <c r="J238" s="70">
        <f t="shared" si="38"/>
        <v>1427.15</v>
      </c>
      <c r="K238" s="189">
        <f t="shared" si="35"/>
        <v>3.6885283050920359E-4</v>
      </c>
    </row>
    <row r="239" spans="1:11" ht="29.25" hidden="1" customHeight="1" x14ac:dyDescent="0.2">
      <c r="A239" s="63" t="s">
        <v>405</v>
      </c>
      <c r="B239" s="124" t="s">
        <v>918</v>
      </c>
      <c r="C239" s="64" t="s">
        <v>406</v>
      </c>
      <c r="D239" s="125" t="s">
        <v>168</v>
      </c>
      <c r="E239" s="65">
        <f>9+3+5</f>
        <v>17</v>
      </c>
      <c r="F239" s="65">
        <v>75.84</v>
      </c>
      <c r="G239" s="65">
        <f t="shared" si="32"/>
        <v>1289.28</v>
      </c>
      <c r="H239" s="126">
        <f t="shared" si="36"/>
        <v>94.82</v>
      </c>
      <c r="I239" s="126">
        <f t="shared" si="33"/>
        <v>1611.98</v>
      </c>
      <c r="J239" s="70">
        <f t="shared" si="38"/>
        <v>1289.28</v>
      </c>
      <c r="K239" s="189">
        <f t="shared" si="35"/>
        <v>3.3321940960581161E-4</v>
      </c>
    </row>
    <row r="240" spans="1:11" hidden="1" x14ac:dyDescent="0.2">
      <c r="A240" s="63" t="s">
        <v>407</v>
      </c>
      <c r="B240" s="124" t="s">
        <v>919</v>
      </c>
      <c r="C240" s="64" t="s">
        <v>408</v>
      </c>
      <c r="D240" s="125" t="s">
        <v>168</v>
      </c>
      <c r="E240" s="65">
        <f>3+2+3</f>
        <v>8</v>
      </c>
      <c r="F240" s="65">
        <v>130.16999999999999</v>
      </c>
      <c r="G240" s="65">
        <f t="shared" si="32"/>
        <v>1041.3599999999999</v>
      </c>
      <c r="H240" s="126">
        <f t="shared" si="36"/>
        <v>162.75</v>
      </c>
      <c r="I240" s="126">
        <f t="shared" si="33"/>
        <v>1302.01</v>
      </c>
      <c r="J240" s="70">
        <f t="shared" si="38"/>
        <v>1041.3599999999999</v>
      </c>
      <c r="K240" s="189">
        <f t="shared" si="35"/>
        <v>2.6914416028788374E-4</v>
      </c>
    </row>
    <row r="241" spans="1:11" ht="28.5" hidden="1" customHeight="1" x14ac:dyDescent="0.2">
      <c r="A241" s="63" t="s">
        <v>409</v>
      </c>
      <c r="B241" s="124" t="s">
        <v>920</v>
      </c>
      <c r="C241" s="64" t="s">
        <v>410</v>
      </c>
      <c r="D241" s="125" t="s">
        <v>168</v>
      </c>
      <c r="E241" s="65">
        <f>3+2+3</f>
        <v>8</v>
      </c>
      <c r="F241" s="65">
        <v>259.88</v>
      </c>
      <c r="G241" s="65">
        <f t="shared" si="32"/>
        <v>2079.04</v>
      </c>
      <c r="H241" s="126">
        <f t="shared" si="36"/>
        <v>324.92</v>
      </c>
      <c r="I241" s="126">
        <f t="shared" si="33"/>
        <v>2599.42</v>
      </c>
      <c r="J241" s="70">
        <f t="shared" si="38"/>
        <v>2079.04</v>
      </c>
      <c r="K241" s="189">
        <f t="shared" si="35"/>
        <v>5.3733743453240044E-4</v>
      </c>
    </row>
    <row r="242" spans="1:11" ht="27.75" hidden="1" customHeight="1" x14ac:dyDescent="0.2">
      <c r="A242" s="63" t="s">
        <v>411</v>
      </c>
      <c r="B242" s="124" t="s">
        <v>921</v>
      </c>
      <c r="C242" s="64" t="s">
        <v>412</v>
      </c>
      <c r="D242" s="125" t="s">
        <v>168</v>
      </c>
      <c r="E242" s="65">
        <f>9+5+5</f>
        <v>19</v>
      </c>
      <c r="F242" s="65">
        <v>92.37</v>
      </c>
      <c r="G242" s="65">
        <f t="shared" si="32"/>
        <v>1755.03</v>
      </c>
      <c r="H242" s="126">
        <f t="shared" si="36"/>
        <v>115.49</v>
      </c>
      <c r="I242" s="126">
        <f t="shared" si="33"/>
        <v>2194.31</v>
      </c>
      <c r="J242" s="70">
        <f t="shared" si="38"/>
        <v>1755.03</v>
      </c>
      <c r="K242" s="189">
        <f t="shared" si="35"/>
        <v>4.5359538126535593E-4</v>
      </c>
    </row>
    <row r="243" spans="1:11" ht="18" hidden="1" customHeight="1" x14ac:dyDescent="0.2">
      <c r="A243" s="63" t="s">
        <v>413</v>
      </c>
      <c r="B243" s="124" t="s">
        <v>1117</v>
      </c>
      <c r="C243" s="64" t="s">
        <v>1118</v>
      </c>
      <c r="D243" s="125" t="s">
        <v>168</v>
      </c>
      <c r="E243" s="65">
        <f>34+15+19</f>
        <v>68</v>
      </c>
      <c r="F243" s="65">
        <v>361.92</v>
      </c>
      <c r="G243" s="65">
        <f t="shared" si="32"/>
        <v>24610.560000000001</v>
      </c>
      <c r="H243" s="126">
        <f t="shared" si="36"/>
        <v>452.5</v>
      </c>
      <c r="I243" s="126">
        <f t="shared" si="33"/>
        <v>30770.58</v>
      </c>
      <c r="J243" s="70">
        <f t="shared" si="38"/>
        <v>24610.560000000001</v>
      </c>
      <c r="K243" s="189">
        <f t="shared" si="35"/>
        <v>6.3607206670234099E-3</v>
      </c>
    </row>
    <row r="244" spans="1:11" ht="29.25" hidden="1" customHeight="1" x14ac:dyDescent="0.2">
      <c r="A244" s="63" t="s">
        <v>414</v>
      </c>
      <c r="B244" s="124" t="s">
        <v>922</v>
      </c>
      <c r="C244" s="64" t="s">
        <v>1236</v>
      </c>
      <c r="D244" s="125" t="s">
        <v>168</v>
      </c>
      <c r="E244" s="65">
        <f>3+3+3</f>
        <v>9</v>
      </c>
      <c r="F244" s="65">
        <v>103.38</v>
      </c>
      <c r="G244" s="65">
        <f t="shared" si="32"/>
        <v>930.42</v>
      </c>
      <c r="H244" s="126">
        <f t="shared" si="36"/>
        <v>129.25</v>
      </c>
      <c r="I244" s="126">
        <f t="shared" si="33"/>
        <v>1163.3</v>
      </c>
      <c r="J244" s="70">
        <f t="shared" si="38"/>
        <v>930.42</v>
      </c>
      <c r="K244" s="189">
        <f t="shared" si="35"/>
        <v>2.4047081179322363E-4</v>
      </c>
    </row>
    <row r="245" spans="1:11" ht="28.5" hidden="1" customHeight="1" x14ac:dyDescent="0.2">
      <c r="A245" s="63" t="s">
        <v>415</v>
      </c>
      <c r="B245" s="124" t="s">
        <v>923</v>
      </c>
      <c r="C245" s="64" t="s">
        <v>416</v>
      </c>
      <c r="D245" s="125" t="s">
        <v>168</v>
      </c>
      <c r="E245" s="65">
        <f>12+5+7</f>
        <v>24</v>
      </c>
      <c r="F245" s="65">
        <v>79.39</v>
      </c>
      <c r="G245" s="65">
        <f t="shared" si="32"/>
        <v>1905.36</v>
      </c>
      <c r="H245" s="126">
        <f t="shared" si="36"/>
        <v>99.26</v>
      </c>
      <c r="I245" s="126">
        <f t="shared" si="33"/>
        <v>2382.27</v>
      </c>
      <c r="J245" s="70">
        <f t="shared" si="38"/>
        <v>1905.36</v>
      </c>
      <c r="K245" s="189">
        <f t="shared" si="35"/>
        <v>4.9244941185476053E-4</v>
      </c>
    </row>
    <row r="246" spans="1:11" ht="28.5" hidden="1" customHeight="1" x14ac:dyDescent="0.2">
      <c r="A246" s="63" t="s">
        <v>417</v>
      </c>
      <c r="B246" s="124" t="s">
        <v>924</v>
      </c>
      <c r="C246" s="64" t="s">
        <v>1237</v>
      </c>
      <c r="D246" s="125" t="s">
        <v>168</v>
      </c>
      <c r="E246" s="65">
        <f>49+20+30</f>
        <v>99</v>
      </c>
      <c r="F246" s="65">
        <v>21.5</v>
      </c>
      <c r="G246" s="65">
        <f t="shared" si="32"/>
        <v>2128.5</v>
      </c>
      <c r="H246" s="126">
        <f t="shared" si="36"/>
        <v>26.88</v>
      </c>
      <c r="I246" s="126">
        <f t="shared" si="33"/>
        <v>2661.26</v>
      </c>
      <c r="J246" s="70">
        <f t="shared" si="38"/>
        <v>2128.5</v>
      </c>
      <c r="K246" s="189">
        <f t="shared" si="35"/>
        <v>5.5012065038496894E-4</v>
      </c>
    </row>
    <row r="247" spans="1:11" ht="30" hidden="1" customHeight="1" x14ac:dyDescent="0.2">
      <c r="A247" s="63" t="s">
        <v>418</v>
      </c>
      <c r="B247" s="124" t="s">
        <v>925</v>
      </c>
      <c r="C247" s="64" t="s">
        <v>419</v>
      </c>
      <c r="D247" s="125" t="s">
        <v>168</v>
      </c>
      <c r="E247" s="65">
        <f>4+2+3</f>
        <v>9</v>
      </c>
      <c r="F247" s="65">
        <v>355.57</v>
      </c>
      <c r="G247" s="65">
        <f t="shared" si="32"/>
        <v>3200.13</v>
      </c>
      <c r="H247" s="126">
        <f t="shared" si="36"/>
        <v>444.56</v>
      </c>
      <c r="I247" s="126">
        <f t="shared" si="33"/>
        <v>4001.12</v>
      </c>
      <c r="J247" s="70">
        <f t="shared" si="38"/>
        <v>3200.13</v>
      </c>
      <c r="K247" s="189">
        <f t="shared" si="35"/>
        <v>8.2708894909490501E-4</v>
      </c>
    </row>
    <row r="248" spans="1:11" ht="38.25" hidden="1" x14ac:dyDescent="0.2">
      <c r="A248" s="63" t="s">
        <v>420</v>
      </c>
      <c r="B248" s="124" t="s">
        <v>421</v>
      </c>
      <c r="C248" s="64" t="s">
        <v>422</v>
      </c>
      <c r="D248" s="125" t="s">
        <v>168</v>
      </c>
      <c r="E248" s="65">
        <f>6+3+3</f>
        <v>12</v>
      </c>
      <c r="F248" s="65">
        <v>98.41</v>
      </c>
      <c r="G248" s="65">
        <f t="shared" si="32"/>
        <v>1180.92</v>
      </c>
      <c r="H248" s="126">
        <f t="shared" si="36"/>
        <v>123.04</v>
      </c>
      <c r="I248" s="126">
        <f t="shared" si="33"/>
        <v>1476.5</v>
      </c>
      <c r="J248" s="70">
        <f t="shared" si="38"/>
        <v>1180.92</v>
      </c>
      <c r="K248" s="189">
        <f t="shared" si="35"/>
        <v>3.0521374848508097E-4</v>
      </c>
    </row>
    <row r="249" spans="1:11" hidden="1" x14ac:dyDescent="0.2">
      <c r="A249" s="63" t="s">
        <v>423</v>
      </c>
      <c r="B249" s="124" t="s">
        <v>424</v>
      </c>
      <c r="C249" s="64" t="s">
        <v>425</v>
      </c>
      <c r="D249" s="125" t="s">
        <v>168</v>
      </c>
      <c r="E249" s="65">
        <f>3+1+2</f>
        <v>6</v>
      </c>
      <c r="F249" s="65">
        <v>311.76</v>
      </c>
      <c r="G249" s="65">
        <f t="shared" si="32"/>
        <v>1870.56</v>
      </c>
      <c r="H249" s="126">
        <f t="shared" si="36"/>
        <v>389.79</v>
      </c>
      <c r="I249" s="126">
        <f t="shared" si="33"/>
        <v>2338.7600000000002</v>
      </c>
      <c r="J249" s="70">
        <f t="shared" si="38"/>
        <v>1870.56</v>
      </c>
      <c r="K249" s="189">
        <f t="shared" si="35"/>
        <v>4.8345527017065227E-4</v>
      </c>
    </row>
    <row r="250" spans="1:11" hidden="1" x14ac:dyDescent="0.2">
      <c r="A250" s="63" t="s">
        <v>426</v>
      </c>
      <c r="B250" s="124" t="s">
        <v>427</v>
      </c>
      <c r="C250" s="64" t="s">
        <v>428</v>
      </c>
      <c r="D250" s="125" t="s">
        <v>168</v>
      </c>
      <c r="E250" s="65">
        <f>3+1+2</f>
        <v>6</v>
      </c>
      <c r="F250" s="65">
        <v>720.29</v>
      </c>
      <c r="G250" s="65">
        <f t="shared" si="32"/>
        <v>4321.74</v>
      </c>
      <c r="H250" s="126">
        <f t="shared" si="36"/>
        <v>900.57</v>
      </c>
      <c r="I250" s="126">
        <f t="shared" si="33"/>
        <v>5403.47</v>
      </c>
      <c r="J250" s="70">
        <f t="shared" si="38"/>
        <v>4321.74</v>
      </c>
      <c r="K250" s="189">
        <f t="shared" si="35"/>
        <v>1.1169748279896245E-3</v>
      </c>
    </row>
    <row r="251" spans="1:11" ht="29.25" hidden="1" customHeight="1" x14ac:dyDescent="0.2">
      <c r="A251" s="63" t="s">
        <v>429</v>
      </c>
      <c r="B251" s="124" t="s">
        <v>926</v>
      </c>
      <c r="C251" s="64" t="s">
        <v>1238</v>
      </c>
      <c r="D251" s="125" t="s">
        <v>168</v>
      </c>
      <c r="E251" s="65">
        <f>2+1+3</f>
        <v>6</v>
      </c>
      <c r="F251" s="65">
        <v>718.5</v>
      </c>
      <c r="G251" s="65">
        <f t="shared" si="32"/>
        <v>4311</v>
      </c>
      <c r="H251" s="126">
        <f t="shared" si="36"/>
        <v>898.34</v>
      </c>
      <c r="I251" s="126">
        <f t="shared" si="33"/>
        <v>5390.04</v>
      </c>
      <c r="J251" s="70">
        <f t="shared" si="38"/>
        <v>4311</v>
      </c>
      <c r="K251" s="189">
        <f t="shared" si="35"/>
        <v>1.1141986541717073E-3</v>
      </c>
    </row>
    <row r="252" spans="1:11" ht="30.75" hidden="1" customHeight="1" x14ac:dyDescent="0.2">
      <c r="A252" s="63" t="s">
        <v>430</v>
      </c>
      <c r="B252" s="124" t="s">
        <v>927</v>
      </c>
      <c r="C252" s="64" t="s">
        <v>431</v>
      </c>
      <c r="D252" s="125" t="s">
        <v>168</v>
      </c>
      <c r="E252" s="65">
        <f>3+5+7</f>
        <v>15</v>
      </c>
      <c r="F252" s="65">
        <v>78.81</v>
      </c>
      <c r="G252" s="65">
        <f t="shared" si="32"/>
        <v>1182.1500000000001</v>
      </c>
      <c r="H252" s="126">
        <f t="shared" si="36"/>
        <v>98.53</v>
      </c>
      <c r="I252" s="126">
        <f t="shared" si="33"/>
        <v>1478.04</v>
      </c>
      <c r="J252" s="70">
        <f t="shared" si="38"/>
        <v>1182.1500000000001</v>
      </c>
      <c r="K252" s="189">
        <f t="shared" si="35"/>
        <v>3.055320885952517E-4</v>
      </c>
    </row>
    <row r="253" spans="1:11" ht="17.25" hidden="1" customHeight="1" x14ac:dyDescent="0.2">
      <c r="A253" s="63" t="s">
        <v>432</v>
      </c>
      <c r="B253" s="124" t="s">
        <v>433</v>
      </c>
      <c r="C253" s="64" t="s">
        <v>434</v>
      </c>
      <c r="D253" s="125" t="s">
        <v>168</v>
      </c>
      <c r="E253" s="65">
        <f>17+9+9</f>
        <v>35</v>
      </c>
      <c r="F253" s="65">
        <v>34.29</v>
      </c>
      <c r="G253" s="65">
        <f t="shared" si="32"/>
        <v>1200.1500000000001</v>
      </c>
      <c r="H253" s="126">
        <f t="shared" si="36"/>
        <v>42.87</v>
      </c>
      <c r="I253" s="126">
        <f t="shared" si="33"/>
        <v>1500.54</v>
      </c>
      <c r="J253" s="70">
        <f t="shared" si="38"/>
        <v>1200.1500000000001</v>
      </c>
      <c r="K253" s="189">
        <f t="shared" si="35"/>
        <v>3.1018316163345983E-4</v>
      </c>
    </row>
    <row r="254" spans="1:11" ht="17.25" hidden="1" customHeight="1" x14ac:dyDescent="0.2">
      <c r="A254" s="63" t="s">
        <v>435</v>
      </c>
      <c r="B254" s="124" t="s">
        <v>436</v>
      </c>
      <c r="C254" s="64" t="s">
        <v>437</v>
      </c>
      <c r="D254" s="125" t="s">
        <v>168</v>
      </c>
      <c r="E254" s="65">
        <f>29+15+15</f>
        <v>59</v>
      </c>
      <c r="F254" s="65">
        <v>20.350000000000001</v>
      </c>
      <c r="G254" s="65">
        <f t="shared" si="32"/>
        <v>1200.6500000000001</v>
      </c>
      <c r="H254" s="126">
        <f t="shared" si="36"/>
        <v>25.44</v>
      </c>
      <c r="I254" s="126">
        <f t="shared" si="33"/>
        <v>1501.17</v>
      </c>
      <c r="J254" s="70">
        <f t="shared" si="38"/>
        <v>1200.6500000000001</v>
      </c>
      <c r="K254" s="189">
        <f t="shared" si="35"/>
        <v>3.1031339167852967E-4</v>
      </c>
    </row>
    <row r="255" spans="1:11" x14ac:dyDescent="0.2">
      <c r="A255" s="127" t="s">
        <v>438</v>
      </c>
      <c r="B255" s="128"/>
      <c r="C255" s="66" t="s">
        <v>1048</v>
      </c>
      <c r="D255" s="66"/>
      <c r="E255" s="141"/>
      <c r="F255" s="143">
        <f>SUM(F256:F275)</f>
        <v>1279.75</v>
      </c>
      <c r="G255" s="143">
        <f>SUM(G256:G275)</f>
        <v>16680.329999999998</v>
      </c>
      <c r="H255" s="129">
        <f>SUM(H256:H275)</f>
        <v>1599.98</v>
      </c>
      <c r="I255" s="129">
        <f>SUM(I256:I275)</f>
        <v>20855.319999999996</v>
      </c>
      <c r="J255" s="75">
        <f>SUM(J256:J275)</f>
        <v>16680.329999999998</v>
      </c>
      <c r="K255" s="189">
        <f t="shared" si="35"/>
        <v>4.3110940691201347E-3</v>
      </c>
    </row>
    <row r="256" spans="1:11" ht="29.25" hidden="1" customHeight="1" x14ac:dyDescent="0.2">
      <c r="A256" s="63" t="s">
        <v>439</v>
      </c>
      <c r="B256" s="124" t="s">
        <v>928</v>
      </c>
      <c r="C256" s="64" t="s">
        <v>440</v>
      </c>
      <c r="D256" s="125" t="s">
        <v>267</v>
      </c>
      <c r="E256" s="65">
        <f>30+7.8+14</f>
        <v>51.8</v>
      </c>
      <c r="F256" s="65">
        <v>4.91</v>
      </c>
      <c r="G256" s="65">
        <f t="shared" si="32"/>
        <v>254.33</v>
      </c>
      <c r="H256" s="126">
        <f t="shared" si="36"/>
        <v>6.13</v>
      </c>
      <c r="I256" s="126">
        <f t="shared" si="33"/>
        <v>317.98</v>
      </c>
      <c r="J256" s="70">
        <f>TRUNC(F256 * E256, 2)</f>
        <v>254.33</v>
      </c>
      <c r="K256" s="189">
        <f t="shared" si="35"/>
        <v>6.5731031319530016E-5</v>
      </c>
    </row>
    <row r="257" spans="1:11" ht="29.25" hidden="1" customHeight="1" x14ac:dyDescent="0.2">
      <c r="A257" s="63" t="s">
        <v>441</v>
      </c>
      <c r="B257" s="124" t="s">
        <v>929</v>
      </c>
      <c r="C257" s="64" t="s">
        <v>442</v>
      </c>
      <c r="D257" s="125" t="s">
        <v>267</v>
      </c>
      <c r="E257" s="65">
        <f>12+3.12+6</f>
        <v>21.12</v>
      </c>
      <c r="F257" s="65">
        <v>15.19</v>
      </c>
      <c r="G257" s="65">
        <f t="shared" si="32"/>
        <v>320.81</v>
      </c>
      <c r="H257" s="126">
        <f t="shared" si="36"/>
        <v>18.989999999999998</v>
      </c>
      <c r="I257" s="126">
        <f t="shared" si="33"/>
        <v>401.1</v>
      </c>
      <c r="J257" s="70">
        <f t="shared" ref="J257:J275" si="39">TRUNC(F257 * E257, 2)</f>
        <v>320.81</v>
      </c>
      <c r="K257" s="189">
        <f t="shared" si="35"/>
        <v>8.2913128694457161E-5</v>
      </c>
    </row>
    <row r="258" spans="1:11" ht="30" hidden="1" customHeight="1" x14ac:dyDescent="0.2">
      <c r="A258" s="63" t="s">
        <v>443</v>
      </c>
      <c r="B258" s="124" t="s">
        <v>930</v>
      </c>
      <c r="C258" s="64" t="s">
        <v>444</v>
      </c>
      <c r="D258" s="125" t="s">
        <v>267</v>
      </c>
      <c r="E258" s="65">
        <f>12+3.12+6</f>
        <v>21.12</v>
      </c>
      <c r="F258" s="65">
        <v>16.78</v>
      </c>
      <c r="G258" s="65">
        <f t="shared" ref="G258:G321" si="40">TRUNC(E258*F258,2)</f>
        <v>354.39</v>
      </c>
      <c r="H258" s="126">
        <f t="shared" si="36"/>
        <v>20.98</v>
      </c>
      <c r="I258" s="126">
        <f t="shared" ref="I258:I321" si="41">TRUNC(G258*(1+I$8),2)</f>
        <v>443.09</v>
      </c>
      <c r="J258" s="70">
        <f t="shared" si="39"/>
        <v>354.39</v>
      </c>
      <c r="K258" s="189">
        <f t="shared" si="35"/>
        <v>9.1593064555539817E-5</v>
      </c>
    </row>
    <row r="259" spans="1:11" ht="28.5" hidden="1" customHeight="1" x14ac:dyDescent="0.2">
      <c r="A259" s="63" t="s">
        <v>445</v>
      </c>
      <c r="B259" s="124" t="s">
        <v>931</v>
      </c>
      <c r="C259" s="64" t="s">
        <v>446</v>
      </c>
      <c r="D259" s="125" t="s">
        <v>168</v>
      </c>
      <c r="E259" s="65">
        <f>12+7+6</f>
        <v>25</v>
      </c>
      <c r="F259" s="65">
        <v>10.49</v>
      </c>
      <c r="G259" s="65">
        <f t="shared" si="40"/>
        <v>262.25</v>
      </c>
      <c r="H259" s="126">
        <f t="shared" si="36"/>
        <v>13.11</v>
      </c>
      <c r="I259" s="126">
        <f t="shared" si="41"/>
        <v>327.89</v>
      </c>
      <c r="J259" s="70">
        <f t="shared" si="39"/>
        <v>262.25</v>
      </c>
      <c r="K259" s="189">
        <f t="shared" si="35"/>
        <v>6.7779570599914123E-5</v>
      </c>
    </row>
    <row r="260" spans="1:11" ht="28.5" hidden="1" customHeight="1" x14ac:dyDescent="0.2">
      <c r="A260" s="63" t="s">
        <v>447</v>
      </c>
      <c r="B260" s="124" t="s">
        <v>932</v>
      </c>
      <c r="C260" s="64" t="s">
        <v>448</v>
      </c>
      <c r="D260" s="125" t="s">
        <v>168</v>
      </c>
      <c r="E260" s="65">
        <f t="shared" ref="E260:E265" si="42">3+3+3</f>
        <v>9</v>
      </c>
      <c r="F260" s="65">
        <v>9.9</v>
      </c>
      <c r="G260" s="65">
        <f t="shared" si="40"/>
        <v>89.1</v>
      </c>
      <c r="H260" s="126">
        <f t="shared" si="36"/>
        <v>12.37</v>
      </c>
      <c r="I260" s="126">
        <f t="shared" si="41"/>
        <v>111.4</v>
      </c>
      <c r="J260" s="70">
        <f t="shared" si="39"/>
        <v>89.1</v>
      </c>
      <c r="K260" s="189">
        <f t="shared" si="35"/>
        <v>2.3027979398061649E-5</v>
      </c>
    </row>
    <row r="261" spans="1:11" ht="29.25" hidden="1" customHeight="1" x14ac:dyDescent="0.2">
      <c r="A261" s="63" t="s">
        <v>449</v>
      </c>
      <c r="B261" s="124" t="s">
        <v>933</v>
      </c>
      <c r="C261" s="64" t="s">
        <v>450</v>
      </c>
      <c r="D261" s="125" t="s">
        <v>168</v>
      </c>
      <c r="E261" s="65">
        <f t="shared" si="42"/>
        <v>9</v>
      </c>
      <c r="F261" s="65">
        <v>13.92</v>
      </c>
      <c r="G261" s="65">
        <f t="shared" si="40"/>
        <v>125.28</v>
      </c>
      <c r="H261" s="126">
        <f t="shared" si="36"/>
        <v>17.399999999999999</v>
      </c>
      <c r="I261" s="126">
        <f t="shared" si="41"/>
        <v>156.63</v>
      </c>
      <c r="J261" s="70">
        <f t="shared" si="39"/>
        <v>125.28</v>
      </c>
      <c r="K261" s="189">
        <f t="shared" si="35"/>
        <v>3.237766977664628E-5</v>
      </c>
    </row>
    <row r="262" spans="1:11" ht="27.75" hidden="1" customHeight="1" x14ac:dyDescent="0.2">
      <c r="A262" s="63" t="s">
        <v>451</v>
      </c>
      <c r="B262" s="124" t="s">
        <v>934</v>
      </c>
      <c r="C262" s="64" t="s">
        <v>452</v>
      </c>
      <c r="D262" s="125" t="s">
        <v>168</v>
      </c>
      <c r="E262" s="65">
        <f t="shared" si="42"/>
        <v>9</v>
      </c>
      <c r="F262" s="65">
        <v>19.22</v>
      </c>
      <c r="G262" s="65">
        <f t="shared" si="40"/>
        <v>172.98</v>
      </c>
      <c r="H262" s="126">
        <f t="shared" si="36"/>
        <v>24.03</v>
      </c>
      <c r="I262" s="126">
        <f t="shared" si="41"/>
        <v>216.27</v>
      </c>
      <c r="J262" s="70">
        <f t="shared" si="39"/>
        <v>172.98</v>
      </c>
      <c r="K262" s="189">
        <f t="shared" si="35"/>
        <v>4.4706114043256665E-5</v>
      </c>
    </row>
    <row r="263" spans="1:11" ht="30" hidden="1" customHeight="1" x14ac:dyDescent="0.2">
      <c r="A263" s="63" t="s">
        <v>453</v>
      </c>
      <c r="B263" s="124" t="s">
        <v>935</v>
      </c>
      <c r="C263" s="64" t="s">
        <v>454</v>
      </c>
      <c r="D263" s="125" t="s">
        <v>168</v>
      </c>
      <c r="E263" s="65">
        <f t="shared" si="42"/>
        <v>9</v>
      </c>
      <c r="F263" s="65">
        <v>24.67</v>
      </c>
      <c r="G263" s="65">
        <f t="shared" si="40"/>
        <v>222.03</v>
      </c>
      <c r="H263" s="126">
        <f t="shared" si="36"/>
        <v>30.84</v>
      </c>
      <c r="I263" s="126">
        <f t="shared" si="41"/>
        <v>277.60000000000002</v>
      </c>
      <c r="J263" s="70">
        <f t="shared" si="39"/>
        <v>222.03</v>
      </c>
      <c r="K263" s="189">
        <f t="shared" si="35"/>
        <v>5.7383905573625801E-5</v>
      </c>
    </row>
    <row r="264" spans="1:11" ht="28.5" hidden="1" customHeight="1" x14ac:dyDescent="0.2">
      <c r="A264" s="63" t="s">
        <v>455</v>
      </c>
      <c r="B264" s="124" t="s">
        <v>936</v>
      </c>
      <c r="C264" s="64" t="s">
        <v>456</v>
      </c>
      <c r="D264" s="125" t="s">
        <v>168</v>
      </c>
      <c r="E264" s="65">
        <f t="shared" si="42"/>
        <v>9</v>
      </c>
      <c r="F264" s="65">
        <v>11.24</v>
      </c>
      <c r="G264" s="65">
        <f t="shared" si="40"/>
        <v>101.16</v>
      </c>
      <c r="H264" s="126">
        <f t="shared" si="36"/>
        <v>14.05</v>
      </c>
      <c r="I264" s="126">
        <f t="shared" si="41"/>
        <v>126.48</v>
      </c>
      <c r="J264" s="70">
        <f t="shared" si="39"/>
        <v>101.16</v>
      </c>
      <c r="K264" s="189">
        <f t="shared" si="35"/>
        <v>2.6145231905447371E-5</v>
      </c>
    </row>
    <row r="265" spans="1:11" ht="30" hidden="1" customHeight="1" x14ac:dyDescent="0.2">
      <c r="A265" s="63" t="s">
        <v>457</v>
      </c>
      <c r="B265" s="124" t="s">
        <v>937</v>
      </c>
      <c r="C265" s="64" t="s">
        <v>458</v>
      </c>
      <c r="D265" s="125" t="s">
        <v>168</v>
      </c>
      <c r="E265" s="65">
        <f t="shared" si="42"/>
        <v>9</v>
      </c>
      <c r="F265" s="65">
        <v>11.99</v>
      </c>
      <c r="G265" s="65">
        <f t="shared" si="40"/>
        <v>107.91</v>
      </c>
      <c r="H265" s="126">
        <f t="shared" si="36"/>
        <v>14.99</v>
      </c>
      <c r="I265" s="126">
        <f t="shared" si="41"/>
        <v>134.91</v>
      </c>
      <c r="J265" s="70">
        <f t="shared" si="39"/>
        <v>107.91</v>
      </c>
      <c r="K265" s="189">
        <f t="shared" si="35"/>
        <v>2.788783393709602E-5</v>
      </c>
    </row>
    <row r="266" spans="1:11" ht="27.75" hidden="1" customHeight="1" x14ac:dyDescent="0.2">
      <c r="A266" s="63" t="s">
        <v>459</v>
      </c>
      <c r="B266" s="124" t="s">
        <v>938</v>
      </c>
      <c r="C266" s="64" t="s">
        <v>460</v>
      </c>
      <c r="D266" s="125" t="s">
        <v>168</v>
      </c>
      <c r="E266" s="65">
        <f>6+5+5</f>
        <v>16</v>
      </c>
      <c r="F266" s="65">
        <v>12.74</v>
      </c>
      <c r="G266" s="65">
        <f t="shared" si="40"/>
        <v>203.84</v>
      </c>
      <c r="H266" s="126">
        <f t="shared" si="36"/>
        <v>15.92</v>
      </c>
      <c r="I266" s="126">
        <f t="shared" si="41"/>
        <v>254.86</v>
      </c>
      <c r="J266" s="70">
        <f t="shared" si="39"/>
        <v>203.84</v>
      </c>
      <c r="K266" s="189">
        <f t="shared" si="35"/>
        <v>5.2683221089676769E-5</v>
      </c>
    </row>
    <row r="267" spans="1:11" ht="27" hidden="1" customHeight="1" x14ac:dyDescent="0.2">
      <c r="A267" s="63" t="s">
        <v>461</v>
      </c>
      <c r="B267" s="124" t="s">
        <v>939</v>
      </c>
      <c r="C267" s="64" t="s">
        <v>462</v>
      </c>
      <c r="D267" s="125" t="s">
        <v>168</v>
      </c>
      <c r="E267" s="65">
        <f>6+5+3</f>
        <v>14</v>
      </c>
      <c r="F267" s="65">
        <v>8.18</v>
      </c>
      <c r="G267" s="65">
        <f t="shared" si="40"/>
        <v>114.52</v>
      </c>
      <c r="H267" s="126">
        <f t="shared" si="36"/>
        <v>10.220000000000001</v>
      </c>
      <c r="I267" s="126">
        <f t="shared" si="41"/>
        <v>143.18</v>
      </c>
      <c r="J267" s="70">
        <f t="shared" si="39"/>
        <v>114.52</v>
      </c>
      <c r="K267" s="189">
        <f t="shared" si="35"/>
        <v>2.9597361671584084E-5</v>
      </c>
    </row>
    <row r="268" spans="1:11" ht="30" hidden="1" customHeight="1" x14ac:dyDescent="0.2">
      <c r="A268" s="63" t="s">
        <v>463</v>
      </c>
      <c r="B268" s="124" t="s">
        <v>940</v>
      </c>
      <c r="C268" s="64" t="s">
        <v>464</v>
      </c>
      <c r="D268" s="125" t="s">
        <v>168</v>
      </c>
      <c r="E268" s="65">
        <f>18+7+9</f>
        <v>34</v>
      </c>
      <c r="F268" s="65">
        <v>5.04</v>
      </c>
      <c r="G268" s="65">
        <f t="shared" si="40"/>
        <v>171.36</v>
      </c>
      <c r="H268" s="126">
        <f t="shared" si="36"/>
        <v>6.3</v>
      </c>
      <c r="I268" s="126">
        <f t="shared" si="41"/>
        <v>214.25</v>
      </c>
      <c r="J268" s="70">
        <f t="shared" si="39"/>
        <v>171.36</v>
      </c>
      <c r="K268" s="189">
        <f t="shared" ref="K268:K331" si="43">I268/$I$431</f>
        <v>4.4288551041604199E-5</v>
      </c>
    </row>
    <row r="269" spans="1:11" ht="30" hidden="1" customHeight="1" x14ac:dyDescent="0.2">
      <c r="A269" s="63" t="s">
        <v>465</v>
      </c>
      <c r="B269" s="124" t="s">
        <v>941</v>
      </c>
      <c r="C269" s="64" t="s">
        <v>466</v>
      </c>
      <c r="D269" s="125" t="s">
        <v>168</v>
      </c>
      <c r="E269" s="65">
        <f>12+9+7</f>
        <v>28</v>
      </c>
      <c r="F269" s="65">
        <v>5.33</v>
      </c>
      <c r="G269" s="65">
        <f t="shared" si="40"/>
        <v>149.24</v>
      </c>
      <c r="H269" s="126">
        <f t="shared" si="36"/>
        <v>6.66</v>
      </c>
      <c r="I269" s="126">
        <f t="shared" si="41"/>
        <v>186.59</v>
      </c>
      <c r="J269" s="70">
        <f t="shared" si="39"/>
        <v>149.24</v>
      </c>
      <c r="K269" s="189">
        <f t="shared" si="43"/>
        <v>3.8570831919966995E-5</v>
      </c>
    </row>
    <row r="270" spans="1:11" ht="40.5" hidden="1" customHeight="1" x14ac:dyDescent="0.2">
      <c r="A270" s="63" t="s">
        <v>467</v>
      </c>
      <c r="B270" s="124" t="s">
        <v>942</v>
      </c>
      <c r="C270" s="64" t="s">
        <v>468</v>
      </c>
      <c r="D270" s="125" t="s">
        <v>168</v>
      </c>
      <c r="E270" s="65">
        <f>12+9+7</f>
        <v>28</v>
      </c>
      <c r="F270" s="65">
        <v>34.18</v>
      </c>
      <c r="G270" s="65">
        <f t="shared" si="40"/>
        <v>957.04</v>
      </c>
      <c r="H270" s="126">
        <f t="shared" ref="H270:H333" si="44">TRUNC(F270*(1+I$8),2)</f>
        <v>42.73</v>
      </c>
      <c r="I270" s="126">
        <f t="shared" si="41"/>
        <v>1196.58</v>
      </c>
      <c r="J270" s="70">
        <f t="shared" si="39"/>
        <v>957.04</v>
      </c>
      <c r="K270" s="189">
        <f t="shared" si="43"/>
        <v>2.4735026560262661E-4</v>
      </c>
    </row>
    <row r="271" spans="1:11" ht="30.75" hidden="1" customHeight="1" x14ac:dyDescent="0.2">
      <c r="A271" s="63" t="s">
        <v>469</v>
      </c>
      <c r="B271" s="124" t="s">
        <v>943</v>
      </c>
      <c r="C271" s="64" t="s">
        <v>1056</v>
      </c>
      <c r="D271" s="125" t="s">
        <v>168</v>
      </c>
      <c r="E271" s="65">
        <f>3+3+3</f>
        <v>9</v>
      </c>
      <c r="F271" s="65">
        <v>9.3000000000000007</v>
      </c>
      <c r="G271" s="65">
        <f t="shared" si="40"/>
        <v>83.7</v>
      </c>
      <c r="H271" s="126">
        <f t="shared" si="44"/>
        <v>11.62</v>
      </c>
      <c r="I271" s="126">
        <f t="shared" si="41"/>
        <v>104.65</v>
      </c>
      <c r="J271" s="70">
        <f t="shared" si="39"/>
        <v>83.7</v>
      </c>
      <c r="K271" s="189">
        <f t="shared" si="43"/>
        <v>2.1632657486599208E-5</v>
      </c>
    </row>
    <row r="272" spans="1:11" hidden="1" x14ac:dyDescent="0.2">
      <c r="A272" s="63" t="s">
        <v>470</v>
      </c>
      <c r="B272" s="124" t="s">
        <v>944</v>
      </c>
      <c r="C272" s="64" t="s">
        <v>471</v>
      </c>
      <c r="D272" s="125" t="s">
        <v>168</v>
      </c>
      <c r="E272" s="65">
        <f>3+3+3</f>
        <v>9</v>
      </c>
      <c r="F272" s="65">
        <v>315.36</v>
      </c>
      <c r="G272" s="65">
        <f t="shared" si="40"/>
        <v>2838.24</v>
      </c>
      <c r="H272" s="126">
        <f t="shared" si="44"/>
        <v>394.29</v>
      </c>
      <c r="I272" s="126">
        <f t="shared" si="41"/>
        <v>3548.65</v>
      </c>
      <c r="J272" s="70">
        <f t="shared" si="39"/>
        <v>2838.24</v>
      </c>
      <c r="K272" s="189">
        <f t="shared" si="43"/>
        <v>7.3355690386832557E-4</v>
      </c>
    </row>
    <row r="273" spans="1:11" ht="41.25" hidden="1" customHeight="1" x14ac:dyDescent="0.2">
      <c r="A273" s="63" t="s">
        <v>472</v>
      </c>
      <c r="B273" s="124" t="s">
        <v>473</v>
      </c>
      <c r="C273" s="64" t="s">
        <v>474</v>
      </c>
      <c r="D273" s="125" t="s">
        <v>168</v>
      </c>
      <c r="E273" s="65">
        <f>3+3+2</f>
        <v>8</v>
      </c>
      <c r="F273" s="65">
        <v>640.80999999999995</v>
      </c>
      <c r="G273" s="65">
        <f t="shared" si="40"/>
        <v>5126.4799999999996</v>
      </c>
      <c r="H273" s="126">
        <f t="shared" si="44"/>
        <v>801.2</v>
      </c>
      <c r="I273" s="126">
        <f t="shared" si="41"/>
        <v>6409.63</v>
      </c>
      <c r="J273" s="70">
        <f t="shared" si="39"/>
        <v>5126.4799999999996</v>
      </c>
      <c r="K273" s="189">
        <f t="shared" si="43"/>
        <v>1.3249625456840026E-3</v>
      </c>
    </row>
    <row r="274" spans="1:11" ht="16.5" hidden="1" customHeight="1" x14ac:dyDescent="0.2">
      <c r="A274" s="63" t="s">
        <v>475</v>
      </c>
      <c r="B274" s="124" t="s">
        <v>945</v>
      </c>
      <c r="C274" s="64" t="s">
        <v>476</v>
      </c>
      <c r="D274" s="125" t="s">
        <v>9</v>
      </c>
      <c r="E274" s="65">
        <f>30+7.8+14</f>
        <v>51.8</v>
      </c>
      <c r="F274" s="65">
        <v>68.790000000000006</v>
      </c>
      <c r="G274" s="65">
        <f t="shared" si="40"/>
        <v>3563.32</v>
      </c>
      <c r="H274" s="126">
        <f t="shared" si="44"/>
        <v>86</v>
      </c>
      <c r="I274" s="126">
        <f t="shared" si="41"/>
        <v>4455.21</v>
      </c>
      <c r="J274" s="70">
        <f t="shared" si="39"/>
        <v>3563.32</v>
      </c>
      <c r="K274" s="189">
        <f t="shared" si="43"/>
        <v>9.209558715802355E-4</v>
      </c>
    </row>
    <row r="275" spans="1:11" ht="18.75" hidden="1" customHeight="1" x14ac:dyDescent="0.2">
      <c r="A275" s="63" t="s">
        <v>477</v>
      </c>
      <c r="B275" s="124" t="s">
        <v>946</v>
      </c>
      <c r="C275" s="64" t="s">
        <v>478</v>
      </c>
      <c r="D275" s="125" t="s">
        <v>9</v>
      </c>
      <c r="E275" s="65">
        <f>19.8+5.46+9.8</f>
        <v>35.06</v>
      </c>
      <c r="F275" s="65">
        <v>41.71</v>
      </c>
      <c r="G275" s="65">
        <f t="shared" si="40"/>
        <v>1462.35</v>
      </c>
      <c r="H275" s="126">
        <f t="shared" si="44"/>
        <v>52.15</v>
      </c>
      <c r="I275" s="126">
        <f t="shared" si="41"/>
        <v>1828.37</v>
      </c>
      <c r="J275" s="70">
        <f t="shared" si="39"/>
        <v>1462.35</v>
      </c>
      <c r="K275" s="189">
        <f t="shared" si="43"/>
        <v>3.7795032937193868E-4</v>
      </c>
    </row>
    <row r="276" spans="1:11" x14ac:dyDescent="0.2">
      <c r="A276" s="127" t="s">
        <v>479</v>
      </c>
      <c r="B276" s="128"/>
      <c r="C276" s="66" t="s">
        <v>480</v>
      </c>
      <c r="D276" s="66"/>
      <c r="E276" s="141"/>
      <c r="F276" s="143">
        <f>SUM(F277:F307)</f>
        <v>2775.13</v>
      </c>
      <c r="G276" s="143">
        <f>SUM(G277:G307)</f>
        <v>40615.270000000004</v>
      </c>
      <c r="H276" s="129">
        <f>SUM(H277:H307)</f>
        <v>3469.6000000000008</v>
      </c>
      <c r="I276" s="129">
        <f>SUM(I277:I307)</f>
        <v>50781.090000000004</v>
      </c>
      <c r="J276" s="75">
        <f>SUM(J277:J307)</f>
        <v>40615.270000000004</v>
      </c>
      <c r="K276" s="189">
        <f t="shared" si="43"/>
        <v>1.049718037999205E-2</v>
      </c>
    </row>
    <row r="277" spans="1:11" ht="30" hidden="1" customHeight="1" x14ac:dyDescent="0.2">
      <c r="A277" s="63" t="s">
        <v>481</v>
      </c>
      <c r="B277" s="124" t="s">
        <v>947</v>
      </c>
      <c r="C277" s="64" t="s">
        <v>482</v>
      </c>
      <c r="D277" s="125" t="s">
        <v>267</v>
      </c>
      <c r="E277" s="65">
        <f>30+7.8+18</f>
        <v>55.8</v>
      </c>
      <c r="F277" s="65">
        <v>17.72</v>
      </c>
      <c r="G277" s="65">
        <f t="shared" si="40"/>
        <v>988.77</v>
      </c>
      <c r="H277" s="126">
        <f t="shared" si="44"/>
        <v>22.15</v>
      </c>
      <c r="I277" s="126">
        <f t="shared" si="41"/>
        <v>1236.25</v>
      </c>
      <c r="J277" s="70">
        <f>TRUNC(F277 * E277, 2)</f>
        <v>988.77</v>
      </c>
      <c r="K277" s="189">
        <f t="shared" si="43"/>
        <v>2.5555062415488072E-4</v>
      </c>
    </row>
    <row r="278" spans="1:11" ht="28.5" hidden="1" customHeight="1" x14ac:dyDescent="0.2">
      <c r="A278" s="63" t="s">
        <v>483</v>
      </c>
      <c r="B278" s="124" t="s">
        <v>948</v>
      </c>
      <c r="C278" s="64" t="s">
        <v>484</v>
      </c>
      <c r="D278" s="125" t="s">
        <v>267</v>
      </c>
      <c r="E278" s="65">
        <f>24+6.24+12</f>
        <v>42.24</v>
      </c>
      <c r="F278" s="65">
        <v>22.74</v>
      </c>
      <c r="G278" s="65">
        <f t="shared" si="40"/>
        <v>960.53</v>
      </c>
      <c r="H278" s="126">
        <f t="shared" si="44"/>
        <v>28.43</v>
      </c>
      <c r="I278" s="126">
        <f t="shared" si="41"/>
        <v>1200.95</v>
      </c>
      <c r="J278" s="70">
        <f t="shared" ref="J278:J307" si="45">TRUNC(F278 * E278, 2)</f>
        <v>960.53</v>
      </c>
      <c r="K278" s="189">
        <f t="shared" si="43"/>
        <v>2.4825360734382528E-4</v>
      </c>
    </row>
    <row r="279" spans="1:11" ht="30.75" hidden="1" customHeight="1" x14ac:dyDescent="0.2">
      <c r="A279" s="63" t="s">
        <v>485</v>
      </c>
      <c r="B279" s="124" t="s">
        <v>949</v>
      </c>
      <c r="C279" s="64" t="s">
        <v>486</v>
      </c>
      <c r="D279" s="125" t="s">
        <v>267</v>
      </c>
      <c r="E279" s="65">
        <f>12+3.12+6</f>
        <v>21.12</v>
      </c>
      <c r="F279" s="65">
        <v>28.39</v>
      </c>
      <c r="G279" s="65">
        <f t="shared" si="40"/>
        <v>599.59</v>
      </c>
      <c r="H279" s="126">
        <f t="shared" si="44"/>
        <v>35.49</v>
      </c>
      <c r="I279" s="126">
        <f t="shared" si="41"/>
        <v>749.66</v>
      </c>
      <c r="J279" s="70">
        <f t="shared" si="45"/>
        <v>599.59</v>
      </c>
      <c r="K279" s="189">
        <f t="shared" si="43"/>
        <v>1.5496548505880515E-4</v>
      </c>
    </row>
    <row r="280" spans="1:11" ht="27.75" hidden="1" customHeight="1" x14ac:dyDescent="0.2">
      <c r="A280" s="63" t="s">
        <v>487</v>
      </c>
      <c r="B280" s="124" t="s">
        <v>950</v>
      </c>
      <c r="C280" s="64" t="s">
        <v>488</v>
      </c>
      <c r="D280" s="125" t="s">
        <v>267</v>
      </c>
      <c r="E280" s="65">
        <f>72+38.98+72</f>
        <v>182.98</v>
      </c>
      <c r="F280" s="65">
        <v>31.63</v>
      </c>
      <c r="G280" s="65">
        <f t="shared" si="40"/>
        <v>5787.65</v>
      </c>
      <c r="H280" s="126">
        <f t="shared" si="44"/>
        <v>39.54</v>
      </c>
      <c r="I280" s="126">
        <f t="shared" si="41"/>
        <v>7236.29</v>
      </c>
      <c r="J280" s="70">
        <f t="shared" si="45"/>
        <v>5787.65</v>
      </c>
      <c r="K280" s="189">
        <f t="shared" si="43"/>
        <v>1.4958450362513422E-3</v>
      </c>
    </row>
    <row r="281" spans="1:11" ht="40.5" hidden="1" customHeight="1" x14ac:dyDescent="0.2">
      <c r="A281" s="63" t="s">
        <v>489</v>
      </c>
      <c r="B281" s="124" t="s">
        <v>951</v>
      </c>
      <c r="C281" s="64" t="s">
        <v>490</v>
      </c>
      <c r="D281" s="125" t="s">
        <v>168</v>
      </c>
      <c r="E281" s="65">
        <f>17+7+9</f>
        <v>33</v>
      </c>
      <c r="F281" s="65">
        <v>8.32</v>
      </c>
      <c r="G281" s="65">
        <f t="shared" si="40"/>
        <v>274.56</v>
      </c>
      <c r="H281" s="126">
        <f t="shared" si="44"/>
        <v>10.4</v>
      </c>
      <c r="I281" s="126">
        <f t="shared" si="41"/>
        <v>343.28</v>
      </c>
      <c r="J281" s="70">
        <f t="shared" si="45"/>
        <v>274.56</v>
      </c>
      <c r="K281" s="189">
        <f t="shared" si="43"/>
        <v>7.0960904558048485E-5</v>
      </c>
    </row>
    <row r="282" spans="1:11" ht="37.5" hidden="1" customHeight="1" x14ac:dyDescent="0.2">
      <c r="A282" s="63" t="s">
        <v>491</v>
      </c>
      <c r="B282" s="124" t="s">
        <v>952</v>
      </c>
      <c r="C282" s="64" t="s">
        <v>492</v>
      </c>
      <c r="D282" s="125" t="s">
        <v>168</v>
      </c>
      <c r="E282" s="65">
        <f>6+3+3</f>
        <v>12</v>
      </c>
      <c r="F282" s="65">
        <v>8.5299999999999994</v>
      </c>
      <c r="G282" s="65">
        <f t="shared" si="40"/>
        <v>102.36</v>
      </c>
      <c r="H282" s="126">
        <f t="shared" si="44"/>
        <v>10.66</v>
      </c>
      <c r="I282" s="126">
        <f t="shared" si="41"/>
        <v>127.98</v>
      </c>
      <c r="J282" s="70">
        <f t="shared" si="45"/>
        <v>102.36</v>
      </c>
      <c r="K282" s="189">
        <f t="shared" si="43"/>
        <v>2.6455303441327915E-5</v>
      </c>
    </row>
    <row r="283" spans="1:11" ht="38.25" hidden="1" customHeight="1" x14ac:dyDescent="0.2">
      <c r="A283" s="63" t="s">
        <v>493</v>
      </c>
      <c r="B283" s="124" t="s">
        <v>953</v>
      </c>
      <c r="C283" s="64" t="s">
        <v>494</v>
      </c>
      <c r="D283" s="125" t="s">
        <v>168</v>
      </c>
      <c r="E283" s="65">
        <f>6+3+3</f>
        <v>12</v>
      </c>
      <c r="F283" s="65">
        <v>14.03</v>
      </c>
      <c r="G283" s="65">
        <f t="shared" si="40"/>
        <v>168.36</v>
      </c>
      <c r="H283" s="126">
        <f t="shared" si="44"/>
        <v>17.54</v>
      </c>
      <c r="I283" s="126">
        <f t="shared" si="41"/>
        <v>210.5</v>
      </c>
      <c r="J283" s="70">
        <f t="shared" si="45"/>
        <v>168.36</v>
      </c>
      <c r="K283" s="189">
        <f t="shared" si="43"/>
        <v>4.3513372201902845E-5</v>
      </c>
    </row>
    <row r="284" spans="1:11" ht="39" hidden="1" customHeight="1" x14ac:dyDescent="0.2">
      <c r="A284" s="63" t="s">
        <v>495</v>
      </c>
      <c r="B284" s="124" t="s">
        <v>954</v>
      </c>
      <c r="C284" s="64" t="s">
        <v>496</v>
      </c>
      <c r="D284" s="125" t="s">
        <v>168</v>
      </c>
      <c r="E284" s="65">
        <f>6+3+3</f>
        <v>12</v>
      </c>
      <c r="F284" s="65">
        <v>21.29</v>
      </c>
      <c r="G284" s="65">
        <f t="shared" si="40"/>
        <v>255.48</v>
      </c>
      <c r="H284" s="126">
        <f t="shared" si="44"/>
        <v>26.61</v>
      </c>
      <c r="I284" s="126">
        <f t="shared" si="41"/>
        <v>319.42</v>
      </c>
      <c r="J284" s="70">
        <f t="shared" si="45"/>
        <v>255.48</v>
      </c>
      <c r="K284" s="189">
        <f t="shared" si="43"/>
        <v>6.6028699993975326E-5</v>
      </c>
    </row>
    <row r="285" spans="1:11" ht="35.25" hidden="1" customHeight="1" x14ac:dyDescent="0.2">
      <c r="A285" s="63" t="s">
        <v>497</v>
      </c>
      <c r="B285" s="124" t="s">
        <v>955</v>
      </c>
      <c r="C285" s="64" t="s">
        <v>498</v>
      </c>
      <c r="D285" s="125" t="s">
        <v>168</v>
      </c>
      <c r="E285" s="65">
        <f>17+7+9</f>
        <v>33</v>
      </c>
      <c r="F285" s="65">
        <v>24.85</v>
      </c>
      <c r="G285" s="65">
        <f t="shared" si="40"/>
        <v>820.05</v>
      </c>
      <c r="H285" s="126">
        <f t="shared" si="44"/>
        <v>31.06</v>
      </c>
      <c r="I285" s="126">
        <f t="shared" si="41"/>
        <v>1025.3</v>
      </c>
      <c r="J285" s="70">
        <f t="shared" si="45"/>
        <v>820.05</v>
      </c>
      <c r="K285" s="189">
        <f t="shared" si="43"/>
        <v>2.1194423049221371E-4</v>
      </c>
    </row>
    <row r="286" spans="1:11" ht="35.25" hidden="1" customHeight="1" x14ac:dyDescent="0.2">
      <c r="A286" s="63" t="s">
        <v>499</v>
      </c>
      <c r="B286" s="124" t="s">
        <v>956</v>
      </c>
      <c r="C286" s="64" t="s">
        <v>500</v>
      </c>
      <c r="D286" s="125" t="s">
        <v>168</v>
      </c>
      <c r="E286" s="65">
        <f>12+5+7</f>
        <v>24</v>
      </c>
      <c r="F286" s="65">
        <v>25.6</v>
      </c>
      <c r="G286" s="65">
        <f t="shared" si="40"/>
        <v>614.4</v>
      </c>
      <c r="H286" s="126">
        <f t="shared" si="44"/>
        <v>32</v>
      </c>
      <c r="I286" s="126">
        <f t="shared" si="41"/>
        <v>768.18</v>
      </c>
      <c r="J286" s="70">
        <f t="shared" si="45"/>
        <v>614.4</v>
      </c>
      <c r="K286" s="189">
        <f t="shared" si="43"/>
        <v>1.5879383495514358E-4</v>
      </c>
    </row>
    <row r="287" spans="1:11" ht="37.5" hidden="1" customHeight="1" x14ac:dyDescent="0.2">
      <c r="A287" s="63" t="s">
        <v>501</v>
      </c>
      <c r="B287" s="124" t="s">
        <v>957</v>
      </c>
      <c r="C287" s="64" t="s">
        <v>502</v>
      </c>
      <c r="D287" s="125" t="s">
        <v>168</v>
      </c>
      <c r="E287" s="65">
        <f>3+3+3</f>
        <v>9</v>
      </c>
      <c r="F287" s="65">
        <v>38.369999999999997</v>
      </c>
      <c r="G287" s="65">
        <f t="shared" si="40"/>
        <v>345.33</v>
      </c>
      <c r="H287" s="126">
        <f t="shared" si="44"/>
        <v>47.97</v>
      </c>
      <c r="I287" s="126">
        <f t="shared" si="41"/>
        <v>431.76</v>
      </c>
      <c r="J287" s="70">
        <f t="shared" si="45"/>
        <v>345.33</v>
      </c>
      <c r="K287" s="189">
        <f t="shared" si="43"/>
        <v>8.9250990887855452E-5</v>
      </c>
    </row>
    <row r="288" spans="1:11" ht="30.75" hidden="1" customHeight="1" x14ac:dyDescent="0.2">
      <c r="A288" s="63" t="s">
        <v>503</v>
      </c>
      <c r="B288" s="124" t="s">
        <v>958</v>
      </c>
      <c r="C288" s="64" t="s">
        <v>504</v>
      </c>
      <c r="D288" s="125" t="s">
        <v>168</v>
      </c>
      <c r="E288" s="65">
        <f>3+3+3</f>
        <v>9</v>
      </c>
      <c r="F288" s="65">
        <v>34.22</v>
      </c>
      <c r="G288" s="65">
        <f t="shared" si="40"/>
        <v>307.98</v>
      </c>
      <c r="H288" s="126">
        <f t="shared" si="44"/>
        <v>42.78</v>
      </c>
      <c r="I288" s="126">
        <f t="shared" si="41"/>
        <v>385.06</v>
      </c>
      <c r="J288" s="70">
        <f t="shared" si="45"/>
        <v>307.98</v>
      </c>
      <c r="K288" s="189">
        <f t="shared" si="43"/>
        <v>7.9597430404107879E-5</v>
      </c>
    </row>
    <row r="289" spans="1:11" ht="37.5" hidden="1" customHeight="1" x14ac:dyDescent="0.2">
      <c r="A289" s="63" t="s">
        <v>505</v>
      </c>
      <c r="B289" s="124" t="s">
        <v>959</v>
      </c>
      <c r="C289" s="64" t="s">
        <v>506</v>
      </c>
      <c r="D289" s="125" t="s">
        <v>168</v>
      </c>
      <c r="E289" s="65">
        <f>9+5+7</f>
        <v>21</v>
      </c>
      <c r="F289" s="65">
        <v>20.98</v>
      </c>
      <c r="G289" s="65">
        <f t="shared" si="40"/>
        <v>440.58</v>
      </c>
      <c r="H289" s="126">
        <f t="shared" si="44"/>
        <v>26.23</v>
      </c>
      <c r="I289" s="126">
        <f t="shared" si="41"/>
        <v>550.85</v>
      </c>
      <c r="J289" s="70">
        <f t="shared" si="45"/>
        <v>440.58</v>
      </c>
      <c r="K289" s="189">
        <f t="shared" si="43"/>
        <v>1.1386860369319801E-4</v>
      </c>
    </row>
    <row r="290" spans="1:11" ht="31.5" hidden="1" customHeight="1" x14ac:dyDescent="0.2">
      <c r="A290" s="63" t="s">
        <v>507</v>
      </c>
      <c r="B290" s="124" t="s">
        <v>960</v>
      </c>
      <c r="C290" s="64" t="s">
        <v>508</v>
      </c>
      <c r="D290" s="125" t="s">
        <v>168</v>
      </c>
      <c r="E290" s="65">
        <f t="shared" ref="E290:E295" si="46">3+3+3</f>
        <v>9</v>
      </c>
      <c r="F290" s="65">
        <v>39.200000000000003</v>
      </c>
      <c r="G290" s="65">
        <f t="shared" si="40"/>
        <v>352.8</v>
      </c>
      <c r="H290" s="126">
        <f t="shared" si="44"/>
        <v>49.01</v>
      </c>
      <c r="I290" s="126">
        <f t="shared" si="41"/>
        <v>441.1</v>
      </c>
      <c r="J290" s="70">
        <f t="shared" si="45"/>
        <v>352.8</v>
      </c>
      <c r="K290" s="189">
        <f t="shared" si="43"/>
        <v>9.1181702984604969E-5</v>
      </c>
    </row>
    <row r="291" spans="1:11" ht="33" hidden="1" customHeight="1" x14ac:dyDescent="0.2">
      <c r="A291" s="63" t="s">
        <v>509</v>
      </c>
      <c r="B291" s="124" t="s">
        <v>961</v>
      </c>
      <c r="C291" s="64" t="s">
        <v>510</v>
      </c>
      <c r="D291" s="125" t="s">
        <v>168</v>
      </c>
      <c r="E291" s="65">
        <f t="shared" si="46"/>
        <v>9</v>
      </c>
      <c r="F291" s="65">
        <v>35.130000000000003</v>
      </c>
      <c r="G291" s="65">
        <f t="shared" si="40"/>
        <v>316.17</v>
      </c>
      <c r="H291" s="126">
        <f t="shared" si="44"/>
        <v>43.92</v>
      </c>
      <c r="I291" s="126">
        <f t="shared" si="41"/>
        <v>395.3</v>
      </c>
      <c r="J291" s="70">
        <f t="shared" si="45"/>
        <v>316.17</v>
      </c>
      <c r="K291" s="189">
        <f t="shared" si="43"/>
        <v>8.1714185422385722E-5</v>
      </c>
    </row>
    <row r="292" spans="1:11" ht="35.25" hidden="1" customHeight="1" x14ac:dyDescent="0.2">
      <c r="A292" s="63" t="s">
        <v>511</v>
      </c>
      <c r="B292" s="124" t="s">
        <v>962</v>
      </c>
      <c r="C292" s="64" t="s">
        <v>512</v>
      </c>
      <c r="D292" s="125" t="s">
        <v>168</v>
      </c>
      <c r="E292" s="65">
        <f t="shared" si="46"/>
        <v>9</v>
      </c>
      <c r="F292" s="65">
        <v>21.79</v>
      </c>
      <c r="G292" s="65">
        <f t="shared" si="40"/>
        <v>196.11</v>
      </c>
      <c r="H292" s="126">
        <f t="shared" si="44"/>
        <v>27.24</v>
      </c>
      <c r="I292" s="126">
        <f t="shared" si="41"/>
        <v>245.19</v>
      </c>
      <c r="J292" s="70">
        <f t="shared" si="45"/>
        <v>196.11</v>
      </c>
      <c r="K292" s="189">
        <f t="shared" si="43"/>
        <v>5.0684293255033529E-5</v>
      </c>
    </row>
    <row r="293" spans="1:11" ht="45.75" hidden="1" customHeight="1" x14ac:dyDescent="0.2">
      <c r="A293" s="63" t="s">
        <v>513</v>
      </c>
      <c r="B293" s="124" t="s">
        <v>963</v>
      </c>
      <c r="C293" s="64" t="s">
        <v>514</v>
      </c>
      <c r="D293" s="125" t="s">
        <v>168</v>
      </c>
      <c r="E293" s="65">
        <f t="shared" si="46"/>
        <v>9</v>
      </c>
      <c r="F293" s="65">
        <v>46.43</v>
      </c>
      <c r="G293" s="65">
        <f t="shared" si="40"/>
        <v>417.87</v>
      </c>
      <c r="H293" s="126">
        <f t="shared" si="44"/>
        <v>58.05</v>
      </c>
      <c r="I293" s="126">
        <f t="shared" si="41"/>
        <v>522.46</v>
      </c>
      <c r="J293" s="70">
        <f t="shared" si="45"/>
        <v>417.87</v>
      </c>
      <c r="K293" s="189">
        <f t="shared" si="43"/>
        <v>1.0799998309076561E-4</v>
      </c>
    </row>
    <row r="294" spans="1:11" ht="37.5" hidden="1" customHeight="1" x14ac:dyDescent="0.2">
      <c r="A294" s="63" t="s">
        <v>515</v>
      </c>
      <c r="B294" s="124" t="s">
        <v>964</v>
      </c>
      <c r="C294" s="64" t="s">
        <v>516</v>
      </c>
      <c r="D294" s="125" t="s">
        <v>168</v>
      </c>
      <c r="E294" s="65">
        <f t="shared" si="46"/>
        <v>9</v>
      </c>
      <c r="F294" s="65">
        <v>23.9</v>
      </c>
      <c r="G294" s="65">
        <f t="shared" si="40"/>
        <v>215.1</v>
      </c>
      <c r="H294" s="126">
        <f t="shared" si="44"/>
        <v>29.88</v>
      </c>
      <c r="I294" s="126">
        <f t="shared" si="41"/>
        <v>268.93</v>
      </c>
      <c r="J294" s="70">
        <f t="shared" si="45"/>
        <v>215.1</v>
      </c>
      <c r="K294" s="189">
        <f t="shared" si="43"/>
        <v>5.5591692096236255E-5</v>
      </c>
    </row>
    <row r="295" spans="1:11" ht="28.5" hidden="1" customHeight="1" x14ac:dyDescent="0.2">
      <c r="A295" s="63" t="s">
        <v>517</v>
      </c>
      <c r="B295" s="124" t="s">
        <v>965</v>
      </c>
      <c r="C295" s="64" t="s">
        <v>518</v>
      </c>
      <c r="D295" s="125" t="s">
        <v>168</v>
      </c>
      <c r="E295" s="65">
        <f t="shared" si="46"/>
        <v>9</v>
      </c>
      <c r="F295" s="65">
        <v>72.16</v>
      </c>
      <c r="G295" s="65">
        <f t="shared" si="40"/>
        <v>649.44000000000005</v>
      </c>
      <c r="H295" s="126">
        <f t="shared" si="44"/>
        <v>90.22</v>
      </c>
      <c r="I295" s="126">
        <f t="shared" si="41"/>
        <v>811.99</v>
      </c>
      <c r="J295" s="70">
        <f t="shared" si="45"/>
        <v>649.44000000000005</v>
      </c>
      <c r="K295" s="189">
        <f t="shared" si="43"/>
        <v>1.6784999094642799E-4</v>
      </c>
    </row>
    <row r="296" spans="1:11" ht="37.5" hidden="1" customHeight="1" x14ac:dyDescent="0.2">
      <c r="A296" s="63" t="s">
        <v>519</v>
      </c>
      <c r="B296" s="124" t="s">
        <v>966</v>
      </c>
      <c r="C296" s="64" t="s">
        <v>520</v>
      </c>
      <c r="D296" s="125" t="s">
        <v>168</v>
      </c>
      <c r="E296" s="65">
        <f>12+5+7</f>
        <v>24</v>
      </c>
      <c r="F296" s="65">
        <v>31.47</v>
      </c>
      <c r="G296" s="65">
        <f t="shared" si="40"/>
        <v>755.28</v>
      </c>
      <c r="H296" s="126">
        <f t="shared" si="44"/>
        <v>39.340000000000003</v>
      </c>
      <c r="I296" s="126">
        <f t="shared" si="41"/>
        <v>944.32</v>
      </c>
      <c r="J296" s="70">
        <f t="shared" si="45"/>
        <v>755.28</v>
      </c>
      <c r="K296" s="189">
        <f t="shared" si="43"/>
        <v>1.9520450184180949E-4</v>
      </c>
    </row>
    <row r="297" spans="1:11" ht="37.5" hidden="1" customHeight="1" x14ac:dyDescent="0.2">
      <c r="A297" s="63" t="s">
        <v>521</v>
      </c>
      <c r="B297" s="124" t="s">
        <v>967</v>
      </c>
      <c r="C297" s="64" t="s">
        <v>522</v>
      </c>
      <c r="D297" s="125" t="s">
        <v>168</v>
      </c>
      <c r="E297" s="65">
        <f>3+3+3</f>
        <v>9</v>
      </c>
      <c r="F297" s="65">
        <v>23.26</v>
      </c>
      <c r="G297" s="65">
        <f t="shared" si="40"/>
        <v>209.34</v>
      </c>
      <c r="H297" s="126">
        <f t="shared" si="44"/>
        <v>29.08</v>
      </c>
      <c r="I297" s="126">
        <f t="shared" si="41"/>
        <v>261.73</v>
      </c>
      <c r="J297" s="70">
        <f t="shared" si="45"/>
        <v>209.34</v>
      </c>
      <c r="K297" s="189">
        <f t="shared" si="43"/>
        <v>5.4103348724009657E-5</v>
      </c>
    </row>
    <row r="298" spans="1:11" ht="38.25" hidden="1" customHeight="1" x14ac:dyDescent="0.2">
      <c r="A298" s="63" t="s">
        <v>523</v>
      </c>
      <c r="B298" s="124" t="s">
        <v>968</v>
      </c>
      <c r="C298" s="64" t="s">
        <v>524</v>
      </c>
      <c r="D298" s="125" t="s">
        <v>168</v>
      </c>
      <c r="E298" s="65">
        <f>6+5+5</f>
        <v>16</v>
      </c>
      <c r="F298" s="65">
        <v>18.95</v>
      </c>
      <c r="G298" s="65">
        <f t="shared" si="40"/>
        <v>303.2</v>
      </c>
      <c r="H298" s="126">
        <f t="shared" si="44"/>
        <v>23.69</v>
      </c>
      <c r="I298" s="126">
        <f t="shared" si="41"/>
        <v>379.09</v>
      </c>
      <c r="J298" s="70">
        <f t="shared" si="45"/>
        <v>303.2</v>
      </c>
      <c r="K298" s="189">
        <f t="shared" si="43"/>
        <v>7.8363345691303323E-5</v>
      </c>
    </row>
    <row r="299" spans="1:11" ht="42.75" hidden="1" customHeight="1" x14ac:dyDescent="0.2">
      <c r="A299" s="63" t="s">
        <v>525</v>
      </c>
      <c r="B299" s="124" t="s">
        <v>969</v>
      </c>
      <c r="C299" s="64" t="s">
        <v>1239</v>
      </c>
      <c r="D299" s="125" t="s">
        <v>168</v>
      </c>
      <c r="E299" s="65">
        <f>6+5+5</f>
        <v>16</v>
      </c>
      <c r="F299" s="65">
        <v>79.02</v>
      </c>
      <c r="G299" s="65">
        <f t="shared" si="40"/>
        <v>1264.32</v>
      </c>
      <c r="H299" s="126">
        <f t="shared" si="44"/>
        <v>98.79</v>
      </c>
      <c r="I299" s="126">
        <f t="shared" si="41"/>
        <v>1580.77</v>
      </c>
      <c r="J299" s="70">
        <f t="shared" si="45"/>
        <v>1264.32</v>
      </c>
      <c r="K299" s="189">
        <f t="shared" si="43"/>
        <v>3.2676785451592378E-4</v>
      </c>
    </row>
    <row r="300" spans="1:11" ht="30.75" hidden="1" customHeight="1" x14ac:dyDescent="0.2">
      <c r="A300" s="63" t="s">
        <v>526</v>
      </c>
      <c r="B300" s="124" t="s">
        <v>970</v>
      </c>
      <c r="C300" s="64" t="s">
        <v>527</v>
      </c>
      <c r="D300" s="125" t="s">
        <v>168</v>
      </c>
      <c r="E300" s="65">
        <f>17+7+11</f>
        <v>35</v>
      </c>
      <c r="F300" s="65">
        <v>103.75</v>
      </c>
      <c r="G300" s="65">
        <f t="shared" si="40"/>
        <v>3631.25</v>
      </c>
      <c r="H300" s="126">
        <f t="shared" si="44"/>
        <v>129.71</v>
      </c>
      <c r="I300" s="126">
        <f t="shared" si="41"/>
        <v>4540.1499999999996</v>
      </c>
      <c r="J300" s="70">
        <f t="shared" si="45"/>
        <v>3631.25</v>
      </c>
      <c r="K300" s="189">
        <f t="shared" si="43"/>
        <v>9.3851418908536433E-4</v>
      </c>
    </row>
    <row r="301" spans="1:11" ht="25.5" hidden="1" x14ac:dyDescent="0.2">
      <c r="A301" s="63" t="s">
        <v>528</v>
      </c>
      <c r="B301" s="124" t="s">
        <v>971</v>
      </c>
      <c r="C301" s="64" t="s">
        <v>529</v>
      </c>
      <c r="D301" s="125" t="s">
        <v>168</v>
      </c>
      <c r="E301" s="65">
        <f>12+9+7</f>
        <v>28</v>
      </c>
      <c r="F301" s="65">
        <v>46.1</v>
      </c>
      <c r="G301" s="65">
        <f t="shared" si="40"/>
        <v>1290.8</v>
      </c>
      <c r="H301" s="126">
        <f t="shared" si="44"/>
        <v>57.63</v>
      </c>
      <c r="I301" s="126">
        <f t="shared" si="41"/>
        <v>1613.88</v>
      </c>
      <c r="J301" s="70">
        <f t="shared" si="45"/>
        <v>1290.8</v>
      </c>
      <c r="K301" s="189">
        <f t="shared" si="43"/>
        <v>3.3361216688459366E-4</v>
      </c>
    </row>
    <row r="302" spans="1:11" ht="42" hidden="1" customHeight="1" x14ac:dyDescent="0.2">
      <c r="A302" s="63" t="s">
        <v>530</v>
      </c>
      <c r="B302" s="124" t="s">
        <v>972</v>
      </c>
      <c r="C302" s="64" t="s">
        <v>531</v>
      </c>
      <c r="D302" s="125" t="s">
        <v>267</v>
      </c>
      <c r="E302" s="65">
        <f>12+1.88+6</f>
        <v>19.88</v>
      </c>
      <c r="F302" s="65">
        <v>63.3</v>
      </c>
      <c r="G302" s="65">
        <f t="shared" si="40"/>
        <v>1258.4000000000001</v>
      </c>
      <c r="H302" s="126">
        <f t="shared" si="44"/>
        <v>79.14</v>
      </c>
      <c r="I302" s="126">
        <f t="shared" si="41"/>
        <v>1573.37</v>
      </c>
      <c r="J302" s="70">
        <f t="shared" si="45"/>
        <v>1258.4000000000001</v>
      </c>
      <c r="K302" s="189">
        <f t="shared" si="43"/>
        <v>3.2523816827224644E-4</v>
      </c>
    </row>
    <row r="303" spans="1:11" ht="51" hidden="1" x14ac:dyDescent="0.2">
      <c r="A303" s="63" t="s">
        <v>532</v>
      </c>
      <c r="B303" s="124" t="s">
        <v>973</v>
      </c>
      <c r="C303" s="64" t="s">
        <v>533</v>
      </c>
      <c r="D303" s="125" t="s">
        <v>267</v>
      </c>
      <c r="E303" s="65">
        <f>12+1.88+6</f>
        <v>19.88</v>
      </c>
      <c r="F303" s="65">
        <v>60.95</v>
      </c>
      <c r="G303" s="65">
        <f t="shared" si="40"/>
        <v>1211.68</v>
      </c>
      <c r="H303" s="126">
        <f t="shared" si="44"/>
        <v>76.2</v>
      </c>
      <c r="I303" s="126">
        <f t="shared" si="41"/>
        <v>1514.96</v>
      </c>
      <c r="J303" s="70">
        <f t="shared" si="45"/>
        <v>1211.68</v>
      </c>
      <c r="K303" s="189">
        <f t="shared" si="43"/>
        <v>3.1316398266505814E-4</v>
      </c>
    </row>
    <row r="304" spans="1:11" ht="45.75" hidden="1" customHeight="1" x14ac:dyDescent="0.2">
      <c r="A304" s="63" t="s">
        <v>534</v>
      </c>
      <c r="B304" s="124" t="s">
        <v>473</v>
      </c>
      <c r="C304" s="64" t="s">
        <v>474</v>
      </c>
      <c r="D304" s="125" t="s">
        <v>168</v>
      </c>
      <c r="E304" s="65">
        <f>3+3+2</f>
        <v>8</v>
      </c>
      <c r="F304" s="65">
        <v>640.80999999999995</v>
      </c>
      <c r="G304" s="65">
        <f t="shared" si="40"/>
        <v>5126.4799999999996</v>
      </c>
      <c r="H304" s="126">
        <f t="shared" si="44"/>
        <v>801.2</v>
      </c>
      <c r="I304" s="126">
        <f t="shared" si="41"/>
        <v>6409.63</v>
      </c>
      <c r="J304" s="70">
        <f t="shared" si="45"/>
        <v>5126.4799999999996</v>
      </c>
      <c r="K304" s="189">
        <f t="shared" si="43"/>
        <v>1.3249625456840026E-3</v>
      </c>
    </row>
    <row r="305" spans="1:12" ht="38.25" hidden="1" x14ac:dyDescent="0.2">
      <c r="A305" s="63" t="s">
        <v>535</v>
      </c>
      <c r="B305" s="124" t="s">
        <v>536</v>
      </c>
      <c r="C305" s="64" t="s">
        <v>537</v>
      </c>
      <c r="D305" s="125" t="s">
        <v>168</v>
      </c>
      <c r="E305" s="65">
        <f>3+3+2</f>
        <v>8</v>
      </c>
      <c r="F305" s="65">
        <v>1061.74</v>
      </c>
      <c r="G305" s="65">
        <f t="shared" si="40"/>
        <v>8493.92</v>
      </c>
      <c r="H305" s="126">
        <f t="shared" si="44"/>
        <v>1327.49</v>
      </c>
      <c r="I305" s="126">
        <f t="shared" si="41"/>
        <v>10619.94</v>
      </c>
      <c r="J305" s="70">
        <f t="shared" si="45"/>
        <v>8493.92</v>
      </c>
      <c r="K305" s="189">
        <f t="shared" si="43"/>
        <v>2.1952940711728081E-3</v>
      </c>
    </row>
    <row r="306" spans="1:12" hidden="1" x14ac:dyDescent="0.2">
      <c r="A306" s="63" t="s">
        <v>538</v>
      </c>
      <c r="B306" s="124" t="s">
        <v>945</v>
      </c>
      <c r="C306" s="64" t="s">
        <v>476</v>
      </c>
      <c r="D306" s="125" t="s">
        <v>9</v>
      </c>
      <c r="E306" s="65">
        <f>20.35+5.62+10.1</f>
        <v>36.07</v>
      </c>
      <c r="F306" s="65">
        <v>68.790000000000006</v>
      </c>
      <c r="G306" s="65">
        <f t="shared" si="40"/>
        <v>2481.25</v>
      </c>
      <c r="H306" s="126">
        <f t="shared" si="44"/>
        <v>86</v>
      </c>
      <c r="I306" s="126">
        <f t="shared" si="41"/>
        <v>3102.3</v>
      </c>
      <c r="J306" s="70">
        <f t="shared" si="45"/>
        <v>2481.25</v>
      </c>
      <c r="K306" s="189">
        <f t="shared" si="43"/>
        <v>6.4128995050813874E-4</v>
      </c>
    </row>
    <row r="307" spans="1:12" hidden="1" x14ac:dyDescent="0.2">
      <c r="A307" s="63" t="s">
        <v>539</v>
      </c>
      <c r="B307" s="124" t="s">
        <v>946</v>
      </c>
      <c r="C307" s="64" t="s">
        <v>478</v>
      </c>
      <c r="D307" s="125" t="s">
        <v>9</v>
      </c>
      <c r="E307" s="65">
        <f>14.25+1.56+2.8</f>
        <v>18.61</v>
      </c>
      <c r="F307" s="65">
        <v>41.71</v>
      </c>
      <c r="G307" s="65">
        <f t="shared" si="40"/>
        <v>776.22</v>
      </c>
      <c r="H307" s="126">
        <f t="shared" si="44"/>
        <v>52.15</v>
      </c>
      <c r="I307" s="126">
        <f t="shared" si="41"/>
        <v>970.5</v>
      </c>
      <c r="J307" s="70">
        <f t="shared" si="45"/>
        <v>776.22</v>
      </c>
      <c r="K307" s="189">
        <f t="shared" si="43"/>
        <v>2.0061628371471121E-4</v>
      </c>
    </row>
    <row r="308" spans="1:12" x14ac:dyDescent="0.2">
      <c r="A308" s="127" t="s">
        <v>540</v>
      </c>
      <c r="B308" s="128"/>
      <c r="C308" s="66" t="s">
        <v>1049</v>
      </c>
      <c r="D308" s="66"/>
      <c r="E308" s="141"/>
      <c r="F308" s="143">
        <f>SUM(F309:F355)</f>
        <v>8442.119999999999</v>
      </c>
      <c r="G308" s="143">
        <f>SUM(G309:G355)</f>
        <v>515058.04</v>
      </c>
      <c r="H308" s="129">
        <f>SUM(H309:H355)</f>
        <v>10554.95</v>
      </c>
      <c r="I308" s="129">
        <f>SUM(I309:I355)</f>
        <v>643976.80000000028</v>
      </c>
      <c r="J308" s="75">
        <f>SUM(J309:J355)</f>
        <v>515058.04</v>
      </c>
      <c r="K308" s="200">
        <f t="shared" si="43"/>
        <v>0.1331192502982915</v>
      </c>
      <c r="L308" s="1"/>
    </row>
    <row r="309" spans="1:12" ht="27.75" hidden="1" customHeight="1" x14ac:dyDescent="0.2">
      <c r="A309" s="63" t="s">
        <v>541</v>
      </c>
      <c r="B309" s="124" t="s">
        <v>542</v>
      </c>
      <c r="C309" s="64" t="s">
        <v>543</v>
      </c>
      <c r="D309" s="125" t="s">
        <v>168</v>
      </c>
      <c r="E309" s="65">
        <f>3+1+2</f>
        <v>6</v>
      </c>
      <c r="F309" s="65">
        <v>2824.41</v>
      </c>
      <c r="G309" s="65">
        <f t="shared" si="40"/>
        <v>16946.46</v>
      </c>
      <c r="H309" s="126">
        <f t="shared" si="44"/>
        <v>3531.35</v>
      </c>
      <c r="I309" s="126">
        <f t="shared" si="41"/>
        <v>21188.15</v>
      </c>
      <c r="J309" s="70">
        <f>TRUNC(F309 * E309, 2)</f>
        <v>16946.46</v>
      </c>
      <c r="K309" s="189">
        <f t="shared" si="43"/>
        <v>4.3798948086448825E-3</v>
      </c>
    </row>
    <row r="310" spans="1:12" ht="29.25" hidden="1" customHeight="1" x14ac:dyDescent="0.2">
      <c r="A310" s="63" t="s">
        <v>544</v>
      </c>
      <c r="B310" s="124" t="s">
        <v>974</v>
      </c>
      <c r="C310" s="64" t="s">
        <v>545</v>
      </c>
      <c r="D310" s="125" t="s">
        <v>168</v>
      </c>
      <c r="E310" s="65">
        <f>3+1+2</f>
        <v>6</v>
      </c>
      <c r="F310" s="65">
        <v>1188.6400000000001</v>
      </c>
      <c r="G310" s="65">
        <f t="shared" si="40"/>
        <v>7131.84</v>
      </c>
      <c r="H310" s="126">
        <f t="shared" si="44"/>
        <v>1486.15</v>
      </c>
      <c r="I310" s="126">
        <f t="shared" si="41"/>
        <v>8916.93</v>
      </c>
      <c r="J310" s="70">
        <f t="shared" ref="J310:J355" si="47">TRUNC(F310 * E310, 2)</f>
        <v>7131.84</v>
      </c>
      <c r="K310" s="189">
        <f t="shared" si="43"/>
        <v>1.8432574536261927E-3</v>
      </c>
    </row>
    <row r="311" spans="1:12" ht="31.5" hidden="1" customHeight="1" x14ac:dyDescent="0.2">
      <c r="A311" s="63" t="s">
        <v>546</v>
      </c>
      <c r="B311" s="124" t="s">
        <v>547</v>
      </c>
      <c r="C311" s="64" t="s">
        <v>548</v>
      </c>
      <c r="D311" s="125" t="s">
        <v>168</v>
      </c>
      <c r="E311" s="65">
        <f>2+1+1</f>
        <v>4</v>
      </c>
      <c r="F311" s="65">
        <v>1015.94</v>
      </c>
      <c r="G311" s="65">
        <f t="shared" si="40"/>
        <v>4063.76</v>
      </c>
      <c r="H311" s="126">
        <f t="shared" si="44"/>
        <v>1270.22</v>
      </c>
      <c r="I311" s="126">
        <f t="shared" si="41"/>
        <v>5080.91</v>
      </c>
      <c r="J311" s="70">
        <f t="shared" si="47"/>
        <v>4063.76</v>
      </c>
      <c r="K311" s="189">
        <f t="shared" si="43"/>
        <v>1.0502970449138725E-3</v>
      </c>
    </row>
    <row r="312" spans="1:12" ht="31.5" hidden="1" customHeight="1" x14ac:dyDescent="0.2">
      <c r="A312" s="63" t="s">
        <v>549</v>
      </c>
      <c r="B312" s="124" t="s">
        <v>975</v>
      </c>
      <c r="C312" s="64" t="s">
        <v>1240</v>
      </c>
      <c r="D312" s="125" t="s">
        <v>168</v>
      </c>
      <c r="E312" s="65">
        <f>85+28+48</f>
        <v>161</v>
      </c>
      <c r="F312" s="65">
        <v>12.28</v>
      </c>
      <c r="G312" s="65">
        <f t="shared" si="40"/>
        <v>1977.08</v>
      </c>
      <c r="H312" s="126">
        <f t="shared" si="44"/>
        <v>15.35</v>
      </c>
      <c r="I312" s="126">
        <f t="shared" si="41"/>
        <v>2471.94</v>
      </c>
      <c r="J312" s="70">
        <f t="shared" si="47"/>
        <v>1977.08</v>
      </c>
      <c r="K312" s="189">
        <f t="shared" si="43"/>
        <v>5.1098548826969935E-4</v>
      </c>
    </row>
    <row r="313" spans="1:12" ht="28.5" hidden="1" customHeight="1" x14ac:dyDescent="0.2">
      <c r="A313" s="63" t="s">
        <v>550</v>
      </c>
      <c r="B313" s="124" t="s">
        <v>976</v>
      </c>
      <c r="C313" s="64" t="s">
        <v>1241</v>
      </c>
      <c r="D313" s="125" t="s">
        <v>168</v>
      </c>
      <c r="E313" s="65">
        <f>29+12+18</f>
        <v>59</v>
      </c>
      <c r="F313" s="65">
        <v>54.59</v>
      </c>
      <c r="G313" s="65">
        <f t="shared" si="40"/>
        <v>3220.81</v>
      </c>
      <c r="H313" s="126">
        <f t="shared" si="44"/>
        <v>68.25</v>
      </c>
      <c r="I313" s="126">
        <f t="shared" si="41"/>
        <v>4026.97</v>
      </c>
      <c r="J313" s="70">
        <f t="shared" si="47"/>
        <v>3220.81</v>
      </c>
      <c r="K313" s="189">
        <f t="shared" si="43"/>
        <v>8.3243251522991302E-4</v>
      </c>
    </row>
    <row r="314" spans="1:12" ht="28.5" hidden="1" customHeight="1" x14ac:dyDescent="0.2">
      <c r="A314" s="63" t="s">
        <v>551</v>
      </c>
      <c r="B314" s="124" t="s">
        <v>977</v>
      </c>
      <c r="C314" s="64" t="s">
        <v>1242</v>
      </c>
      <c r="D314" s="125" t="s">
        <v>168</v>
      </c>
      <c r="E314" s="65">
        <f>9+7+9</f>
        <v>25</v>
      </c>
      <c r="F314" s="65">
        <v>69.23</v>
      </c>
      <c r="G314" s="65">
        <f t="shared" si="40"/>
        <v>1730.75</v>
      </c>
      <c r="H314" s="126">
        <f t="shared" si="44"/>
        <v>86.55</v>
      </c>
      <c r="I314" s="126">
        <f t="shared" si="41"/>
        <v>2163.9499999999998</v>
      </c>
      <c r="J314" s="70">
        <f t="shared" si="47"/>
        <v>1730.75</v>
      </c>
      <c r="K314" s="189">
        <f t="shared" si="43"/>
        <v>4.4731953337913372E-4</v>
      </c>
    </row>
    <row r="315" spans="1:12" ht="25.5" hidden="1" x14ac:dyDescent="0.2">
      <c r="A315" s="63" t="s">
        <v>552</v>
      </c>
      <c r="B315" s="124" t="s">
        <v>978</v>
      </c>
      <c r="C315" s="64" t="s">
        <v>553</v>
      </c>
      <c r="D315" s="125" t="s">
        <v>168</v>
      </c>
      <c r="E315" s="65">
        <f>9+7+9</f>
        <v>25</v>
      </c>
      <c r="F315" s="65">
        <v>141.58000000000001</v>
      </c>
      <c r="G315" s="65">
        <f t="shared" si="40"/>
        <v>3539.5</v>
      </c>
      <c r="H315" s="126">
        <f t="shared" si="44"/>
        <v>177.01</v>
      </c>
      <c r="I315" s="126">
        <f t="shared" si="41"/>
        <v>4425.43</v>
      </c>
      <c r="J315" s="70">
        <f t="shared" si="47"/>
        <v>3539.5</v>
      </c>
      <c r="K315" s="189">
        <f t="shared" si="43"/>
        <v>9.1479991802122056E-4</v>
      </c>
    </row>
    <row r="316" spans="1:12" ht="29.25" hidden="1" customHeight="1" x14ac:dyDescent="0.2">
      <c r="A316" s="63" t="s">
        <v>554</v>
      </c>
      <c r="B316" s="124" t="s">
        <v>979</v>
      </c>
      <c r="C316" s="64" t="s">
        <v>555</v>
      </c>
      <c r="D316" s="125" t="s">
        <v>168</v>
      </c>
      <c r="E316" s="65">
        <f>3+3+3</f>
        <v>9</v>
      </c>
      <c r="F316" s="65">
        <v>383.03</v>
      </c>
      <c r="G316" s="65">
        <f t="shared" si="40"/>
        <v>3447.27</v>
      </c>
      <c r="H316" s="126">
        <f t="shared" si="44"/>
        <v>478.9</v>
      </c>
      <c r="I316" s="126">
        <f t="shared" si="41"/>
        <v>4310.12</v>
      </c>
      <c r="J316" s="70">
        <f t="shared" si="47"/>
        <v>3447.27</v>
      </c>
      <c r="K316" s="189">
        <f t="shared" si="43"/>
        <v>8.9096368548629678E-4</v>
      </c>
    </row>
    <row r="317" spans="1:12" ht="17.25" hidden="1" customHeight="1" x14ac:dyDescent="0.2">
      <c r="A317" s="63" t="s">
        <v>556</v>
      </c>
      <c r="B317" s="124" t="s">
        <v>557</v>
      </c>
      <c r="C317" s="64" t="s">
        <v>558</v>
      </c>
      <c r="D317" s="125" t="s">
        <v>168</v>
      </c>
      <c r="E317" s="65">
        <f>23+9+15</f>
        <v>47</v>
      </c>
      <c r="F317" s="65">
        <v>157.34</v>
      </c>
      <c r="G317" s="65">
        <f t="shared" si="40"/>
        <v>7394.98</v>
      </c>
      <c r="H317" s="126">
        <f t="shared" si="44"/>
        <v>196.72</v>
      </c>
      <c r="I317" s="126">
        <f t="shared" si="41"/>
        <v>9245.94</v>
      </c>
      <c r="J317" s="70">
        <f t="shared" si="47"/>
        <v>7394.98</v>
      </c>
      <c r="K317" s="189">
        <f t="shared" si="43"/>
        <v>1.911268544306231E-3</v>
      </c>
    </row>
    <row r="318" spans="1:12" ht="17.25" hidden="1" customHeight="1" x14ac:dyDescent="0.2">
      <c r="A318" s="63" t="s">
        <v>559</v>
      </c>
      <c r="B318" s="124" t="s">
        <v>560</v>
      </c>
      <c r="C318" s="64" t="s">
        <v>561</v>
      </c>
      <c r="D318" s="125" t="s">
        <v>168</v>
      </c>
      <c r="E318" s="65">
        <f>29+7+7</f>
        <v>43</v>
      </c>
      <c r="F318" s="65">
        <v>163.85</v>
      </c>
      <c r="G318" s="65">
        <f t="shared" si="40"/>
        <v>7045.55</v>
      </c>
      <c r="H318" s="126">
        <f t="shared" si="44"/>
        <v>204.86</v>
      </c>
      <c r="I318" s="126">
        <f t="shared" si="41"/>
        <v>8809.0499999999993</v>
      </c>
      <c r="J318" s="70">
        <f t="shared" si="47"/>
        <v>7045.55</v>
      </c>
      <c r="K318" s="189">
        <f t="shared" si="43"/>
        <v>1.8209571087656638E-3</v>
      </c>
    </row>
    <row r="319" spans="1:12" ht="28.5" hidden="1" customHeight="1" x14ac:dyDescent="0.2">
      <c r="A319" s="63" t="s">
        <v>562</v>
      </c>
      <c r="B319" s="124" t="s">
        <v>980</v>
      </c>
      <c r="C319" s="64" t="s">
        <v>563</v>
      </c>
      <c r="D319" s="125" t="s">
        <v>267</v>
      </c>
      <c r="E319" s="65">
        <f>1500+600+800</f>
        <v>2900</v>
      </c>
      <c r="F319" s="65">
        <v>4.59</v>
      </c>
      <c r="G319" s="65">
        <f t="shared" si="40"/>
        <v>13311</v>
      </c>
      <c r="H319" s="126">
        <f t="shared" si="44"/>
        <v>5.73</v>
      </c>
      <c r="I319" s="126">
        <f t="shared" si="41"/>
        <v>16642.740000000002</v>
      </c>
      <c r="J319" s="70">
        <f t="shared" si="47"/>
        <v>13311</v>
      </c>
      <c r="K319" s="189">
        <f t="shared" si="43"/>
        <v>3.4402933020403642E-3</v>
      </c>
    </row>
    <row r="320" spans="1:12" ht="28.5" hidden="1" customHeight="1" x14ac:dyDescent="0.2">
      <c r="A320" s="63" t="s">
        <v>564</v>
      </c>
      <c r="B320" s="124" t="s">
        <v>981</v>
      </c>
      <c r="C320" s="64" t="s">
        <v>565</v>
      </c>
      <c r="D320" s="125" t="s">
        <v>267</v>
      </c>
      <c r="E320" s="65">
        <f>1200+400+700</f>
        <v>2300</v>
      </c>
      <c r="F320" s="65">
        <v>6.77</v>
      </c>
      <c r="G320" s="65">
        <f t="shared" si="40"/>
        <v>15571</v>
      </c>
      <c r="H320" s="126">
        <f t="shared" si="44"/>
        <v>8.4600000000000009</v>
      </c>
      <c r="I320" s="126">
        <f t="shared" si="41"/>
        <v>19468.419999999998</v>
      </c>
      <c r="J320" s="70">
        <f t="shared" si="47"/>
        <v>15571</v>
      </c>
      <c r="K320" s="189">
        <f t="shared" si="43"/>
        <v>4.0244019270449845E-3</v>
      </c>
    </row>
    <row r="321" spans="1:11" ht="31.5" hidden="1" customHeight="1" x14ac:dyDescent="0.2">
      <c r="A321" s="63" t="s">
        <v>566</v>
      </c>
      <c r="B321" s="124" t="s">
        <v>982</v>
      </c>
      <c r="C321" s="64" t="s">
        <v>567</v>
      </c>
      <c r="D321" s="125" t="s">
        <v>267</v>
      </c>
      <c r="E321" s="65">
        <f>600+200+400</f>
        <v>1200</v>
      </c>
      <c r="F321" s="65">
        <v>9.6</v>
      </c>
      <c r="G321" s="65">
        <f t="shared" si="40"/>
        <v>11520</v>
      </c>
      <c r="H321" s="126">
        <f t="shared" si="44"/>
        <v>12</v>
      </c>
      <c r="I321" s="126">
        <f t="shared" si="41"/>
        <v>14403.45</v>
      </c>
      <c r="J321" s="70">
        <f t="shared" si="47"/>
        <v>11520</v>
      </c>
      <c r="K321" s="189">
        <f t="shared" si="43"/>
        <v>2.9773999089857364E-3</v>
      </c>
    </row>
    <row r="322" spans="1:11" ht="28.5" hidden="1" customHeight="1" x14ac:dyDescent="0.2">
      <c r="A322" s="63" t="s">
        <v>568</v>
      </c>
      <c r="B322" s="124" t="s">
        <v>983</v>
      </c>
      <c r="C322" s="64" t="s">
        <v>569</v>
      </c>
      <c r="D322" s="125" t="s">
        <v>267</v>
      </c>
      <c r="E322" s="65">
        <f>300+150+100</f>
        <v>550</v>
      </c>
      <c r="F322" s="65">
        <v>16.100000000000001</v>
      </c>
      <c r="G322" s="65">
        <f t="shared" ref="G322:G385" si="48">TRUNC(E322*F322,2)</f>
        <v>8855</v>
      </c>
      <c r="H322" s="126">
        <f t="shared" si="44"/>
        <v>20.12</v>
      </c>
      <c r="I322" s="126">
        <f t="shared" ref="I322:I385" si="49">TRUNC(G322*(1+I$8),2)</f>
        <v>11071.4</v>
      </c>
      <c r="J322" s="70">
        <f t="shared" si="47"/>
        <v>8855</v>
      </c>
      <c r="K322" s="189">
        <f t="shared" si="43"/>
        <v>2.2886173348985613E-3</v>
      </c>
    </row>
    <row r="323" spans="1:11" ht="17.25" hidden="1" customHeight="1" x14ac:dyDescent="0.2">
      <c r="A323" s="63" t="s">
        <v>570</v>
      </c>
      <c r="B323" s="124" t="s">
        <v>984</v>
      </c>
      <c r="C323" s="64" t="s">
        <v>571</v>
      </c>
      <c r="D323" s="125" t="s">
        <v>168</v>
      </c>
      <c r="E323" s="65">
        <f>29+9+15</f>
        <v>53</v>
      </c>
      <c r="F323" s="65">
        <v>18.8</v>
      </c>
      <c r="G323" s="65">
        <f t="shared" si="48"/>
        <v>996.4</v>
      </c>
      <c r="H323" s="126">
        <f t="shared" si="44"/>
        <v>23.5</v>
      </c>
      <c r="I323" s="126">
        <f t="shared" si="49"/>
        <v>1245.79</v>
      </c>
      <c r="J323" s="70">
        <f t="shared" si="47"/>
        <v>996.4</v>
      </c>
      <c r="K323" s="189">
        <f t="shared" si="43"/>
        <v>2.5752267912308095E-4</v>
      </c>
    </row>
    <row r="324" spans="1:11" ht="27.75" hidden="1" customHeight="1" x14ac:dyDescent="0.2">
      <c r="A324" s="63" t="s">
        <v>572</v>
      </c>
      <c r="B324" s="124" t="s">
        <v>985</v>
      </c>
      <c r="C324" s="64" t="s">
        <v>573</v>
      </c>
      <c r="D324" s="125" t="s">
        <v>267</v>
      </c>
      <c r="E324" s="65">
        <f>60+69+28</f>
        <v>157</v>
      </c>
      <c r="F324" s="65">
        <v>9.0299999999999994</v>
      </c>
      <c r="G324" s="65">
        <f t="shared" si="48"/>
        <v>1417.71</v>
      </c>
      <c r="H324" s="126">
        <f t="shared" si="44"/>
        <v>11.29</v>
      </c>
      <c r="I324" s="126">
        <f t="shared" si="49"/>
        <v>1772.56</v>
      </c>
      <c r="J324" s="70">
        <f t="shared" si="47"/>
        <v>1417.71</v>
      </c>
      <c r="K324" s="189">
        <f t="shared" si="43"/>
        <v>3.6641360109361E-4</v>
      </c>
    </row>
    <row r="325" spans="1:11" ht="28.5" hidden="1" customHeight="1" x14ac:dyDescent="0.2">
      <c r="A325" s="63" t="s">
        <v>574</v>
      </c>
      <c r="B325" s="124" t="s">
        <v>986</v>
      </c>
      <c r="C325" s="64" t="s">
        <v>575</v>
      </c>
      <c r="D325" s="125" t="s">
        <v>267</v>
      </c>
      <c r="E325" s="65">
        <f>60+69+28</f>
        <v>157</v>
      </c>
      <c r="F325" s="65">
        <v>12.63</v>
      </c>
      <c r="G325" s="65">
        <f t="shared" si="48"/>
        <v>1982.91</v>
      </c>
      <c r="H325" s="126">
        <f t="shared" si="44"/>
        <v>15.79</v>
      </c>
      <c r="I325" s="126">
        <f t="shared" si="49"/>
        <v>2479.23</v>
      </c>
      <c r="J325" s="70">
        <f t="shared" si="47"/>
        <v>1982.91</v>
      </c>
      <c r="K325" s="189">
        <f t="shared" si="43"/>
        <v>5.1249243593407879E-4</v>
      </c>
    </row>
    <row r="326" spans="1:11" ht="30" hidden="1" customHeight="1" x14ac:dyDescent="0.2">
      <c r="A326" s="63" t="s">
        <v>576</v>
      </c>
      <c r="B326" s="124" t="s">
        <v>987</v>
      </c>
      <c r="C326" s="64" t="s">
        <v>577</v>
      </c>
      <c r="D326" s="125" t="s">
        <v>267</v>
      </c>
      <c r="E326" s="65">
        <f>162+96+83.95</f>
        <v>341.95</v>
      </c>
      <c r="F326" s="65">
        <v>16.28</v>
      </c>
      <c r="G326" s="65">
        <f t="shared" si="48"/>
        <v>5566.94</v>
      </c>
      <c r="H326" s="126">
        <f t="shared" si="44"/>
        <v>20.350000000000001</v>
      </c>
      <c r="I326" s="126">
        <f t="shared" si="49"/>
        <v>6960.34</v>
      </c>
      <c r="J326" s="70">
        <f t="shared" si="47"/>
        <v>5566.94</v>
      </c>
      <c r="K326" s="189">
        <f t="shared" si="43"/>
        <v>1.4388022093671851E-3</v>
      </c>
    </row>
    <row r="327" spans="1:11" ht="30" hidden="1" customHeight="1" x14ac:dyDescent="0.2">
      <c r="A327" s="63" t="s">
        <v>578</v>
      </c>
      <c r="B327" s="124" t="s">
        <v>988</v>
      </c>
      <c r="C327" s="64" t="s">
        <v>579</v>
      </c>
      <c r="D327" s="125" t="s">
        <v>168</v>
      </c>
      <c r="E327" s="65">
        <f>29+9+15</f>
        <v>53</v>
      </c>
      <c r="F327" s="65">
        <v>6.16</v>
      </c>
      <c r="G327" s="65">
        <f t="shared" si="48"/>
        <v>326.48</v>
      </c>
      <c r="H327" s="126">
        <f t="shared" si="44"/>
        <v>7.7</v>
      </c>
      <c r="I327" s="126">
        <f t="shared" si="49"/>
        <v>408.19</v>
      </c>
      <c r="J327" s="70">
        <f t="shared" si="47"/>
        <v>326.48</v>
      </c>
      <c r="K327" s="189">
        <f t="shared" si="43"/>
        <v>8.4378733487385857E-5</v>
      </c>
    </row>
    <row r="328" spans="1:11" ht="28.5" hidden="1" customHeight="1" x14ac:dyDescent="0.2">
      <c r="A328" s="63" t="s">
        <v>580</v>
      </c>
      <c r="B328" s="124" t="s">
        <v>989</v>
      </c>
      <c r="C328" s="64" t="s">
        <v>581</v>
      </c>
      <c r="D328" s="125" t="s">
        <v>168</v>
      </c>
      <c r="E328" s="65">
        <f>29+9+15</f>
        <v>53</v>
      </c>
      <c r="F328" s="65">
        <v>10.1</v>
      </c>
      <c r="G328" s="65">
        <f t="shared" si="48"/>
        <v>535.29999999999995</v>
      </c>
      <c r="H328" s="126">
        <f t="shared" si="44"/>
        <v>12.62</v>
      </c>
      <c r="I328" s="126">
        <f t="shared" si="49"/>
        <v>669.28</v>
      </c>
      <c r="J328" s="70">
        <f t="shared" si="47"/>
        <v>535.29999999999995</v>
      </c>
      <c r="K328" s="189">
        <f t="shared" si="43"/>
        <v>1.3834978502275314E-4</v>
      </c>
    </row>
    <row r="329" spans="1:11" ht="31.5" hidden="1" customHeight="1" x14ac:dyDescent="0.2">
      <c r="A329" s="63" t="s">
        <v>582</v>
      </c>
      <c r="B329" s="124" t="s">
        <v>990</v>
      </c>
      <c r="C329" s="64" t="s">
        <v>583</v>
      </c>
      <c r="D329" s="125" t="s">
        <v>168</v>
      </c>
      <c r="E329" s="65">
        <f>29+9+15</f>
        <v>53</v>
      </c>
      <c r="F329" s="65">
        <v>7.73</v>
      </c>
      <c r="G329" s="65">
        <f t="shared" si="48"/>
        <v>409.69</v>
      </c>
      <c r="H329" s="126">
        <f t="shared" si="44"/>
        <v>9.66</v>
      </c>
      <c r="I329" s="126">
        <f t="shared" si="49"/>
        <v>512.23</v>
      </c>
      <c r="J329" s="70">
        <f t="shared" si="47"/>
        <v>409.69</v>
      </c>
      <c r="K329" s="189">
        <f t="shared" si="43"/>
        <v>1.058852952160603E-4</v>
      </c>
    </row>
    <row r="330" spans="1:11" ht="27.75" hidden="1" customHeight="1" x14ac:dyDescent="0.2">
      <c r="A330" s="63" t="s">
        <v>584</v>
      </c>
      <c r="B330" s="124" t="s">
        <v>991</v>
      </c>
      <c r="C330" s="64" t="s">
        <v>585</v>
      </c>
      <c r="D330" s="125" t="s">
        <v>168</v>
      </c>
      <c r="E330" s="65">
        <f>29+9+15</f>
        <v>53</v>
      </c>
      <c r="F330" s="65">
        <v>10.36</v>
      </c>
      <c r="G330" s="65">
        <f t="shared" si="48"/>
        <v>549.08000000000004</v>
      </c>
      <c r="H330" s="126">
        <f t="shared" si="44"/>
        <v>12.95</v>
      </c>
      <c r="I330" s="126">
        <f t="shared" si="49"/>
        <v>686.51</v>
      </c>
      <c r="J330" s="70">
        <f t="shared" si="47"/>
        <v>549.08000000000004</v>
      </c>
      <c r="K330" s="189">
        <f t="shared" si="43"/>
        <v>1.4191147339823431E-4</v>
      </c>
    </row>
    <row r="331" spans="1:11" ht="28.5" hidden="1" customHeight="1" x14ac:dyDescent="0.2">
      <c r="A331" s="63" t="s">
        <v>586</v>
      </c>
      <c r="B331" s="124" t="s">
        <v>992</v>
      </c>
      <c r="C331" s="64" t="s">
        <v>587</v>
      </c>
      <c r="D331" s="125" t="s">
        <v>168</v>
      </c>
      <c r="E331" s="65">
        <f>57+17+25</f>
        <v>99</v>
      </c>
      <c r="F331" s="65">
        <v>16.25</v>
      </c>
      <c r="G331" s="65">
        <f t="shared" si="48"/>
        <v>1608.75</v>
      </c>
      <c r="H331" s="126">
        <f t="shared" si="44"/>
        <v>20.309999999999999</v>
      </c>
      <c r="I331" s="126">
        <f t="shared" si="49"/>
        <v>2011.42</v>
      </c>
      <c r="J331" s="70">
        <f t="shared" si="47"/>
        <v>1608.75</v>
      </c>
      <c r="K331" s="189">
        <f t="shared" si="43"/>
        <v>4.1578939246722768E-4</v>
      </c>
    </row>
    <row r="332" spans="1:11" ht="27.75" hidden="1" customHeight="1" x14ac:dyDescent="0.2">
      <c r="A332" s="63" t="s">
        <v>588</v>
      </c>
      <c r="B332" s="124" t="s">
        <v>993</v>
      </c>
      <c r="C332" s="64" t="s">
        <v>589</v>
      </c>
      <c r="D332" s="125" t="s">
        <v>168</v>
      </c>
      <c r="E332" s="65">
        <f>29+9+13</f>
        <v>51</v>
      </c>
      <c r="F332" s="65">
        <v>13.52</v>
      </c>
      <c r="G332" s="65">
        <f t="shared" si="48"/>
        <v>689.52</v>
      </c>
      <c r="H332" s="126">
        <f t="shared" si="44"/>
        <v>16.899999999999999</v>
      </c>
      <c r="I332" s="126">
        <f t="shared" si="49"/>
        <v>862.1</v>
      </c>
      <c r="J332" s="70">
        <f t="shared" si="47"/>
        <v>689.52</v>
      </c>
      <c r="K332" s="189">
        <f t="shared" ref="K332:K395" si="50">I332/$I$431</f>
        <v>1.7820844738841065E-4</v>
      </c>
    </row>
    <row r="333" spans="1:11" ht="30" hidden="1" customHeight="1" x14ac:dyDescent="0.2">
      <c r="A333" s="63" t="s">
        <v>590</v>
      </c>
      <c r="B333" s="124" t="s">
        <v>994</v>
      </c>
      <c r="C333" s="64" t="s">
        <v>591</v>
      </c>
      <c r="D333" s="125" t="s">
        <v>168</v>
      </c>
      <c r="E333" s="65">
        <f>170+67+94</f>
        <v>331</v>
      </c>
      <c r="F333" s="65">
        <v>40.74</v>
      </c>
      <c r="G333" s="65">
        <f t="shared" si="48"/>
        <v>13484.94</v>
      </c>
      <c r="H333" s="126">
        <f t="shared" si="44"/>
        <v>50.93</v>
      </c>
      <c r="I333" s="126">
        <f t="shared" si="49"/>
        <v>16860.22</v>
      </c>
      <c r="J333" s="70">
        <f t="shared" si="47"/>
        <v>13484.94</v>
      </c>
      <c r="K333" s="189">
        <f t="shared" si="50"/>
        <v>3.4852495404558976E-3</v>
      </c>
    </row>
    <row r="334" spans="1:11" ht="27.75" hidden="1" customHeight="1" x14ac:dyDescent="0.2">
      <c r="A334" s="63" t="s">
        <v>592</v>
      </c>
      <c r="B334" s="124" t="s">
        <v>995</v>
      </c>
      <c r="C334" s="64" t="s">
        <v>593</v>
      </c>
      <c r="D334" s="125" t="s">
        <v>168</v>
      </c>
      <c r="E334" s="65">
        <f>29+9+18</f>
        <v>56</v>
      </c>
      <c r="F334" s="65">
        <v>49.19</v>
      </c>
      <c r="G334" s="65">
        <f t="shared" si="48"/>
        <v>2754.64</v>
      </c>
      <c r="H334" s="126">
        <f t="shared" ref="H334:H397" si="51">TRUNC(F334*(1+I$8),2)</f>
        <v>61.5</v>
      </c>
      <c r="I334" s="126">
        <f t="shared" si="49"/>
        <v>3444.12</v>
      </c>
      <c r="J334" s="70">
        <f t="shared" si="47"/>
        <v>2754.64</v>
      </c>
      <c r="K334" s="189">
        <f t="shared" si="50"/>
        <v>7.1194905210459681E-4</v>
      </c>
    </row>
    <row r="335" spans="1:11" ht="28.5" hidden="1" customHeight="1" x14ac:dyDescent="0.2">
      <c r="A335" s="63" t="s">
        <v>594</v>
      </c>
      <c r="B335" s="124" t="s">
        <v>996</v>
      </c>
      <c r="C335" s="64" t="s">
        <v>595</v>
      </c>
      <c r="D335" s="125" t="s">
        <v>168</v>
      </c>
      <c r="E335" s="65">
        <f>29+9+24</f>
        <v>62</v>
      </c>
      <c r="F335" s="65">
        <v>27.43</v>
      </c>
      <c r="G335" s="65">
        <f t="shared" si="48"/>
        <v>1700.66</v>
      </c>
      <c r="H335" s="126">
        <f t="shared" si="51"/>
        <v>34.29</v>
      </c>
      <c r="I335" s="126">
        <f t="shared" si="49"/>
        <v>2126.33</v>
      </c>
      <c r="J335" s="70">
        <f t="shared" si="47"/>
        <v>1700.66</v>
      </c>
      <c r="K335" s="189">
        <f t="shared" si="50"/>
        <v>4.3954293925924976E-4</v>
      </c>
    </row>
    <row r="336" spans="1:11" ht="27" hidden="1" customHeight="1" x14ac:dyDescent="0.2">
      <c r="A336" s="63" t="s">
        <v>596</v>
      </c>
      <c r="B336" s="124" t="s">
        <v>997</v>
      </c>
      <c r="C336" s="64" t="s">
        <v>597</v>
      </c>
      <c r="D336" s="125" t="s">
        <v>168</v>
      </c>
      <c r="E336" s="65">
        <f>85+25+42</f>
        <v>152</v>
      </c>
      <c r="F336" s="65">
        <v>41.94</v>
      </c>
      <c r="G336" s="65">
        <f t="shared" si="48"/>
        <v>6374.88</v>
      </c>
      <c r="H336" s="126">
        <f t="shared" si="51"/>
        <v>52.43</v>
      </c>
      <c r="I336" s="126">
        <f t="shared" si="49"/>
        <v>7970.51</v>
      </c>
      <c r="J336" s="70">
        <f t="shared" si="47"/>
        <v>6374.88</v>
      </c>
      <c r="K336" s="189">
        <f t="shared" si="50"/>
        <v>1.6476188516341504E-3</v>
      </c>
    </row>
    <row r="337" spans="1:11" ht="25.5" hidden="1" x14ac:dyDescent="0.2">
      <c r="A337" s="63" t="s">
        <v>598</v>
      </c>
      <c r="B337" s="124" t="s">
        <v>599</v>
      </c>
      <c r="C337" s="64" t="s">
        <v>600</v>
      </c>
      <c r="D337" s="125" t="s">
        <v>168</v>
      </c>
      <c r="E337" s="65">
        <f>29+9+15</f>
        <v>53</v>
      </c>
      <c r="F337" s="65">
        <v>112.36</v>
      </c>
      <c r="G337" s="65">
        <f t="shared" si="48"/>
        <v>5955.08</v>
      </c>
      <c r="H337" s="126">
        <f t="shared" si="51"/>
        <v>140.47999999999999</v>
      </c>
      <c r="I337" s="126">
        <f t="shared" si="49"/>
        <v>7445.63</v>
      </c>
      <c r="J337" s="70">
        <f t="shared" si="47"/>
        <v>5955.08</v>
      </c>
      <c r="K337" s="189">
        <f t="shared" si="50"/>
        <v>1.5391186197988309E-3</v>
      </c>
    </row>
    <row r="338" spans="1:11" hidden="1" x14ac:dyDescent="0.2">
      <c r="A338" s="63" t="s">
        <v>601</v>
      </c>
      <c r="B338" s="124" t="s">
        <v>602</v>
      </c>
      <c r="C338" s="64" t="s">
        <v>603</v>
      </c>
      <c r="D338" s="125" t="s">
        <v>168</v>
      </c>
      <c r="E338" s="65">
        <f>1129+320+660</f>
        <v>2109</v>
      </c>
      <c r="F338" s="65">
        <v>22.54</v>
      </c>
      <c r="G338" s="65">
        <f t="shared" si="48"/>
        <v>47536.86</v>
      </c>
      <c r="H338" s="126">
        <f t="shared" si="51"/>
        <v>28.18</v>
      </c>
      <c r="I338" s="126">
        <f t="shared" si="49"/>
        <v>59435.33</v>
      </c>
      <c r="J338" s="70">
        <f t="shared" si="47"/>
        <v>47536.86</v>
      </c>
      <c r="K338" s="189">
        <f>I338/I308</f>
        <v>9.2294209977750716E-2</v>
      </c>
    </row>
    <row r="339" spans="1:11" x14ac:dyDescent="0.2">
      <c r="A339" s="63" t="s">
        <v>604</v>
      </c>
      <c r="B339" s="124" t="s">
        <v>605</v>
      </c>
      <c r="C339" s="64" t="s">
        <v>606</v>
      </c>
      <c r="D339" s="125" t="s">
        <v>168</v>
      </c>
      <c r="E339" s="65">
        <f>2258+625+1120</f>
        <v>4003</v>
      </c>
      <c r="F339" s="65">
        <v>30.96</v>
      </c>
      <c r="G339" s="65">
        <f t="shared" si="48"/>
        <v>123932.88</v>
      </c>
      <c r="H339" s="126">
        <f t="shared" si="51"/>
        <v>38.700000000000003</v>
      </c>
      <c r="I339" s="126">
        <f t="shared" si="49"/>
        <v>154953.26999999999</v>
      </c>
      <c r="J339" s="70">
        <f t="shared" si="47"/>
        <v>123932.88</v>
      </c>
      <c r="K339" s="201">
        <f>I339/I308</f>
        <v>0.24061933597607851</v>
      </c>
    </row>
    <row r="340" spans="1:11" ht="24" hidden="1" x14ac:dyDescent="0.2">
      <c r="A340" s="63" t="s">
        <v>607</v>
      </c>
      <c r="B340" s="124" t="s">
        <v>608</v>
      </c>
      <c r="C340" s="64" t="s">
        <v>609</v>
      </c>
      <c r="D340" s="125" t="s">
        <v>168</v>
      </c>
      <c r="E340" s="65">
        <f>170+50+84</f>
        <v>304</v>
      </c>
      <c r="F340" s="65">
        <v>89.03</v>
      </c>
      <c r="G340" s="65">
        <f t="shared" si="48"/>
        <v>27065.119999999999</v>
      </c>
      <c r="H340" s="126">
        <f t="shared" si="51"/>
        <v>111.31</v>
      </c>
      <c r="I340" s="126">
        <f t="shared" si="49"/>
        <v>33839.51</v>
      </c>
      <c r="J340" s="70">
        <f t="shared" si="47"/>
        <v>27065.119999999999</v>
      </c>
      <c r="K340" s="189">
        <f t="shared" si="50"/>
        <v>6.9951125594299923E-3</v>
      </c>
    </row>
    <row r="341" spans="1:11" hidden="1" x14ac:dyDescent="0.2">
      <c r="A341" s="63" t="s">
        <v>610</v>
      </c>
      <c r="B341" s="124" t="s">
        <v>611</v>
      </c>
      <c r="C341" s="64" t="s">
        <v>612</v>
      </c>
      <c r="D341" s="125" t="s">
        <v>168</v>
      </c>
      <c r="E341" s="65">
        <f>12+5+9</f>
        <v>26</v>
      </c>
      <c r="F341" s="65">
        <v>142.61000000000001</v>
      </c>
      <c r="G341" s="65">
        <f t="shared" si="48"/>
        <v>3707.86</v>
      </c>
      <c r="H341" s="126">
        <f t="shared" si="51"/>
        <v>178.3</v>
      </c>
      <c r="I341" s="126">
        <f t="shared" si="49"/>
        <v>4635.93</v>
      </c>
      <c r="J341" s="70">
        <f t="shared" si="47"/>
        <v>3707.86</v>
      </c>
      <c r="K341" s="189">
        <f t="shared" si="50"/>
        <v>9.5831329022312334E-4</v>
      </c>
    </row>
    <row r="342" spans="1:11" hidden="1" x14ac:dyDescent="0.2">
      <c r="A342" s="63" t="s">
        <v>613</v>
      </c>
      <c r="B342" s="124" t="s">
        <v>998</v>
      </c>
      <c r="C342" s="64" t="s">
        <v>614</v>
      </c>
      <c r="D342" s="125" t="s">
        <v>168</v>
      </c>
      <c r="E342" s="65">
        <f>29+10+20</f>
        <v>59</v>
      </c>
      <c r="F342" s="65">
        <v>23.27</v>
      </c>
      <c r="G342" s="65">
        <f t="shared" si="48"/>
        <v>1372.93</v>
      </c>
      <c r="H342" s="126">
        <f t="shared" si="51"/>
        <v>29.09</v>
      </c>
      <c r="I342" s="126">
        <f t="shared" si="49"/>
        <v>1716.57</v>
      </c>
      <c r="J342" s="70">
        <f t="shared" si="47"/>
        <v>1372.93</v>
      </c>
      <c r="K342" s="189">
        <f t="shared" si="50"/>
        <v>3.5483966423097558E-4</v>
      </c>
    </row>
    <row r="343" spans="1:11" ht="25.5" hidden="1" x14ac:dyDescent="0.2">
      <c r="A343" s="63" t="s">
        <v>615</v>
      </c>
      <c r="B343" s="124" t="s">
        <v>999</v>
      </c>
      <c r="C343" s="64" t="s">
        <v>616</v>
      </c>
      <c r="D343" s="125" t="s">
        <v>168</v>
      </c>
      <c r="E343" s="65">
        <f>29+10+18</f>
        <v>57</v>
      </c>
      <c r="F343" s="65">
        <v>27.85</v>
      </c>
      <c r="G343" s="65">
        <f t="shared" si="48"/>
        <v>1587.45</v>
      </c>
      <c r="H343" s="126">
        <f t="shared" si="51"/>
        <v>34.82</v>
      </c>
      <c r="I343" s="126">
        <f t="shared" si="49"/>
        <v>1984.78</v>
      </c>
      <c r="J343" s="70">
        <f t="shared" si="47"/>
        <v>1587.45</v>
      </c>
      <c r="K343" s="189">
        <f t="shared" si="50"/>
        <v>4.102825219899892E-4</v>
      </c>
    </row>
    <row r="344" spans="1:11" ht="30" hidden="1" customHeight="1" x14ac:dyDescent="0.2">
      <c r="A344" s="63" t="s">
        <v>617</v>
      </c>
      <c r="B344" s="124" t="s">
        <v>1000</v>
      </c>
      <c r="C344" s="64" t="s">
        <v>1243</v>
      </c>
      <c r="D344" s="125" t="s">
        <v>168</v>
      </c>
      <c r="E344" s="65">
        <f>283+80+70</f>
        <v>433</v>
      </c>
      <c r="F344" s="65">
        <v>55.22</v>
      </c>
      <c r="G344" s="65">
        <f t="shared" si="48"/>
        <v>23910.26</v>
      </c>
      <c r="H344" s="126">
        <f t="shared" si="51"/>
        <v>69.040000000000006</v>
      </c>
      <c r="I344" s="126">
        <f t="shared" si="49"/>
        <v>29894.99</v>
      </c>
      <c r="J344" s="70">
        <f t="shared" si="47"/>
        <v>23910.26</v>
      </c>
      <c r="K344" s="189">
        <f t="shared" si="50"/>
        <v>6.1797236429556469E-3</v>
      </c>
    </row>
    <row r="345" spans="1:11" ht="29.25" hidden="1" customHeight="1" x14ac:dyDescent="0.2">
      <c r="A345" s="63" t="s">
        <v>618</v>
      </c>
      <c r="B345" s="124" t="s">
        <v>1001</v>
      </c>
      <c r="C345" s="64" t="s">
        <v>1244</v>
      </c>
      <c r="D345" s="125" t="s">
        <v>168</v>
      </c>
      <c r="E345" s="65">
        <f>565+160+140</f>
        <v>865</v>
      </c>
      <c r="F345" s="65">
        <v>54.95</v>
      </c>
      <c r="G345" s="65">
        <f t="shared" si="48"/>
        <v>47531.75</v>
      </c>
      <c r="H345" s="126">
        <f t="shared" si="51"/>
        <v>68.7</v>
      </c>
      <c r="I345" s="126">
        <f t="shared" si="49"/>
        <v>59428.94</v>
      </c>
      <c r="J345" s="70">
        <f t="shared" si="47"/>
        <v>47531.75</v>
      </c>
      <c r="K345" s="189">
        <f t="shared" si="50"/>
        <v>1.2284815134368418E-2</v>
      </c>
    </row>
    <row r="346" spans="1:11" ht="31.5" hidden="1" customHeight="1" x14ac:dyDescent="0.2">
      <c r="A346" s="63" t="s">
        <v>619</v>
      </c>
      <c r="B346" s="124" t="s">
        <v>1002</v>
      </c>
      <c r="C346" s="64" t="s">
        <v>620</v>
      </c>
      <c r="D346" s="125" t="s">
        <v>168</v>
      </c>
      <c r="E346" s="65">
        <f>17+5+9</f>
        <v>31</v>
      </c>
      <c r="F346" s="65">
        <v>145.75</v>
      </c>
      <c r="G346" s="65">
        <f t="shared" si="48"/>
        <v>4518.25</v>
      </c>
      <c r="H346" s="126">
        <f t="shared" si="51"/>
        <v>182.23</v>
      </c>
      <c r="I346" s="126">
        <f t="shared" si="49"/>
        <v>5649.16</v>
      </c>
      <c r="J346" s="70">
        <f t="shared" si="47"/>
        <v>4518.25</v>
      </c>
      <c r="K346" s="189">
        <f t="shared" si="50"/>
        <v>1.1677624784232849E-3</v>
      </c>
    </row>
    <row r="347" spans="1:11" ht="28.5" hidden="1" customHeight="1" x14ac:dyDescent="0.2">
      <c r="A347" s="63" t="s">
        <v>621</v>
      </c>
      <c r="B347" s="124" t="s">
        <v>1003</v>
      </c>
      <c r="C347" s="64" t="s">
        <v>622</v>
      </c>
      <c r="D347" s="125" t="s">
        <v>168</v>
      </c>
      <c r="E347" s="65">
        <f>29+13+8</f>
        <v>50</v>
      </c>
      <c r="F347" s="65">
        <v>108.62</v>
      </c>
      <c r="G347" s="65">
        <f t="shared" si="48"/>
        <v>5431</v>
      </c>
      <c r="H347" s="126">
        <f t="shared" si="51"/>
        <v>135.80000000000001</v>
      </c>
      <c r="I347" s="126">
        <f t="shared" si="49"/>
        <v>6790.37</v>
      </c>
      <c r="J347" s="70">
        <f t="shared" si="47"/>
        <v>5431</v>
      </c>
      <c r="K347" s="189">
        <f t="shared" si="50"/>
        <v>1.4036669700647744E-3</v>
      </c>
    </row>
    <row r="348" spans="1:11" ht="27.75" hidden="1" customHeight="1" x14ac:dyDescent="0.2">
      <c r="A348" s="63" t="s">
        <v>623</v>
      </c>
      <c r="B348" s="124" t="s">
        <v>624</v>
      </c>
      <c r="C348" s="64" t="s">
        <v>625</v>
      </c>
      <c r="D348" s="125" t="s">
        <v>267</v>
      </c>
      <c r="E348" s="65">
        <f>141.1+69.95+39</f>
        <v>250.05</v>
      </c>
      <c r="F348" s="65">
        <v>43.73</v>
      </c>
      <c r="G348" s="65">
        <f t="shared" si="48"/>
        <v>10934.68</v>
      </c>
      <c r="H348" s="126">
        <f t="shared" si="51"/>
        <v>54.67</v>
      </c>
      <c r="I348" s="126">
        <f t="shared" si="49"/>
        <v>13671.63</v>
      </c>
      <c r="J348" s="70">
        <f t="shared" si="47"/>
        <v>10934.68</v>
      </c>
      <c r="K348" s="189">
        <f t="shared" si="50"/>
        <v>2.8261222080603371E-3</v>
      </c>
    </row>
    <row r="349" spans="1:11" ht="40.5" hidden="1" customHeight="1" x14ac:dyDescent="0.2">
      <c r="A349" s="63" t="s">
        <v>626</v>
      </c>
      <c r="B349" s="124" t="s">
        <v>627</v>
      </c>
      <c r="C349" s="64" t="s">
        <v>628</v>
      </c>
      <c r="D349" s="125" t="s">
        <v>267</v>
      </c>
      <c r="E349" s="65">
        <f>84.65+42+24</f>
        <v>150.65</v>
      </c>
      <c r="F349" s="65">
        <v>88.06</v>
      </c>
      <c r="G349" s="65">
        <f t="shared" si="48"/>
        <v>13266.23</v>
      </c>
      <c r="H349" s="126">
        <f t="shared" si="51"/>
        <v>110.1</v>
      </c>
      <c r="I349" s="126">
        <f t="shared" si="49"/>
        <v>16586.759999999998</v>
      </c>
      <c r="J349" s="70">
        <f t="shared" si="47"/>
        <v>13266.23</v>
      </c>
      <c r="K349" s="189">
        <f t="shared" si="50"/>
        <v>3.4287214323213016E-3</v>
      </c>
    </row>
    <row r="350" spans="1:11" ht="36" hidden="1" x14ac:dyDescent="0.2">
      <c r="A350" s="63" t="s">
        <v>629</v>
      </c>
      <c r="B350" s="124" t="s">
        <v>630</v>
      </c>
      <c r="C350" s="64" t="s">
        <v>631</v>
      </c>
      <c r="D350" s="125" t="s">
        <v>267</v>
      </c>
      <c r="E350" s="65">
        <f>169.3+83.95+45</f>
        <v>298.25</v>
      </c>
      <c r="F350" s="65">
        <v>82.18</v>
      </c>
      <c r="G350" s="65">
        <f t="shared" si="48"/>
        <v>24510.18</v>
      </c>
      <c r="H350" s="126">
        <f t="shared" si="51"/>
        <v>102.74</v>
      </c>
      <c r="I350" s="126">
        <f t="shared" si="49"/>
        <v>30645.07</v>
      </c>
      <c r="J350" s="70">
        <f t="shared" si="47"/>
        <v>24510.18</v>
      </c>
      <c r="K350" s="189">
        <f t="shared" si="50"/>
        <v>6.3347759480444979E-3</v>
      </c>
    </row>
    <row r="351" spans="1:11" hidden="1" x14ac:dyDescent="0.2">
      <c r="A351" s="63" t="s">
        <v>632</v>
      </c>
      <c r="B351" s="124" t="s">
        <v>633</v>
      </c>
      <c r="C351" s="64" t="s">
        <v>634</v>
      </c>
      <c r="D351" s="125" t="s">
        <v>168</v>
      </c>
      <c r="E351" s="65">
        <f>29+15+16</f>
        <v>60</v>
      </c>
      <c r="F351" s="65">
        <v>210.25</v>
      </c>
      <c r="G351" s="65">
        <f t="shared" si="48"/>
        <v>12615</v>
      </c>
      <c r="H351" s="126">
        <f t="shared" si="51"/>
        <v>262.87</v>
      </c>
      <c r="I351" s="126">
        <f t="shared" si="49"/>
        <v>15772.53</v>
      </c>
      <c r="J351" s="70">
        <f t="shared" si="47"/>
        <v>12615</v>
      </c>
      <c r="K351" s="189">
        <f t="shared" si="50"/>
        <v>3.2604084012146256E-3</v>
      </c>
    </row>
    <row r="352" spans="1:11" ht="41.25" hidden="1" customHeight="1" x14ac:dyDescent="0.2">
      <c r="A352" s="63" t="s">
        <v>635</v>
      </c>
      <c r="B352" s="124" t="s">
        <v>473</v>
      </c>
      <c r="C352" s="64" t="s">
        <v>474</v>
      </c>
      <c r="D352" s="125" t="s">
        <v>168</v>
      </c>
      <c r="E352" s="65">
        <f>6+3+2</f>
        <v>11</v>
      </c>
      <c r="F352" s="65">
        <v>640.80999999999995</v>
      </c>
      <c r="G352" s="65">
        <f t="shared" si="48"/>
        <v>7048.91</v>
      </c>
      <c r="H352" s="126">
        <f t="shared" si="51"/>
        <v>801.2</v>
      </c>
      <c r="I352" s="126">
        <f t="shared" si="49"/>
        <v>8813.25</v>
      </c>
      <c r="J352" s="70">
        <f t="shared" si="47"/>
        <v>7048.91</v>
      </c>
      <c r="K352" s="189">
        <f t="shared" si="50"/>
        <v>1.8218253090661295E-3</v>
      </c>
    </row>
    <row r="353" spans="1:11" ht="27" hidden="1" customHeight="1" x14ac:dyDescent="0.2">
      <c r="A353" s="63" t="s">
        <v>636</v>
      </c>
      <c r="B353" s="124" t="s">
        <v>637</v>
      </c>
      <c r="C353" s="64" t="s">
        <v>638</v>
      </c>
      <c r="D353" s="125" t="s">
        <v>168</v>
      </c>
      <c r="E353" s="65">
        <f>29+14+8</f>
        <v>51</v>
      </c>
      <c r="F353" s="65">
        <v>125.32</v>
      </c>
      <c r="G353" s="65">
        <f t="shared" si="48"/>
        <v>6391.32</v>
      </c>
      <c r="H353" s="126">
        <f t="shared" si="51"/>
        <v>156.68</v>
      </c>
      <c r="I353" s="126">
        <f t="shared" si="49"/>
        <v>7991.06</v>
      </c>
      <c r="J353" s="70">
        <f t="shared" si="47"/>
        <v>6391.32</v>
      </c>
      <c r="K353" s="189">
        <f t="shared" si="50"/>
        <v>1.6518668316757139E-3</v>
      </c>
    </row>
    <row r="354" spans="1:11" ht="18" hidden="1" customHeight="1" x14ac:dyDescent="0.2">
      <c r="A354" s="63" t="s">
        <v>639</v>
      </c>
      <c r="B354" s="124" t="s">
        <v>945</v>
      </c>
      <c r="C354" s="64" t="s">
        <v>476</v>
      </c>
      <c r="D354" s="125" t="s">
        <v>9</v>
      </c>
      <c r="E354" s="65">
        <f>22.6+11.2+6.24</f>
        <v>40.04</v>
      </c>
      <c r="F354" s="65">
        <v>68.790000000000006</v>
      </c>
      <c r="G354" s="65">
        <f t="shared" si="48"/>
        <v>2754.35</v>
      </c>
      <c r="H354" s="126">
        <f t="shared" si="51"/>
        <v>86</v>
      </c>
      <c r="I354" s="126">
        <f t="shared" si="49"/>
        <v>3443.76</v>
      </c>
      <c r="J354" s="70">
        <f t="shared" si="47"/>
        <v>2754.35</v>
      </c>
      <c r="K354" s="189">
        <f t="shared" si="50"/>
        <v>7.1187463493598555E-4</v>
      </c>
    </row>
    <row r="355" spans="1:11" ht="18" hidden="1" customHeight="1" x14ac:dyDescent="0.2">
      <c r="A355" s="63" t="s">
        <v>640</v>
      </c>
      <c r="B355" s="124" t="s">
        <v>946</v>
      </c>
      <c r="C355" s="64" t="s">
        <v>478</v>
      </c>
      <c r="D355" s="125" t="s">
        <v>9</v>
      </c>
      <c r="E355" s="65">
        <f>11.3+5.6+3.12</f>
        <v>20.02</v>
      </c>
      <c r="F355" s="65">
        <v>41.71</v>
      </c>
      <c r="G355" s="65">
        <f t="shared" si="48"/>
        <v>835.03</v>
      </c>
      <c r="H355" s="126">
        <f t="shared" si="51"/>
        <v>52.15</v>
      </c>
      <c r="I355" s="126">
        <f t="shared" si="49"/>
        <v>1044.03</v>
      </c>
      <c r="J355" s="70">
        <f t="shared" si="47"/>
        <v>835.03</v>
      </c>
      <c r="K355" s="189">
        <f t="shared" si="50"/>
        <v>2.1581599040357543E-4</v>
      </c>
    </row>
    <row r="356" spans="1:11" x14ac:dyDescent="0.2">
      <c r="A356" s="127" t="s">
        <v>641</v>
      </c>
      <c r="B356" s="128"/>
      <c r="C356" s="66" t="s">
        <v>1053</v>
      </c>
      <c r="D356" s="66"/>
      <c r="E356" s="141"/>
      <c r="F356" s="143">
        <f>F357+F358+F359</f>
        <v>751.31</v>
      </c>
      <c r="G356" s="143">
        <f>G357+G358+G359</f>
        <v>4400.67</v>
      </c>
      <c r="H356" s="129">
        <f>H357+H358+H359</f>
        <v>939.35</v>
      </c>
      <c r="I356" s="129">
        <f>SUM(I357:I359)</f>
        <v>5502.14</v>
      </c>
      <c r="J356" s="75">
        <f>SUM(J357:J359)</f>
        <v>4400.67</v>
      </c>
      <c r="K356" s="189">
        <f t="shared" si="50"/>
        <v>1.1373713336198467E-3</v>
      </c>
    </row>
    <row r="357" spans="1:11" ht="43.5" hidden="1" customHeight="1" x14ac:dyDescent="0.2">
      <c r="A357" s="63" t="s">
        <v>1104</v>
      </c>
      <c r="B357" s="124" t="s">
        <v>473</v>
      </c>
      <c r="C357" s="64" t="s">
        <v>474</v>
      </c>
      <c r="D357" s="125" t="s">
        <v>168</v>
      </c>
      <c r="E357" s="65">
        <f>3+2+1</f>
        <v>6</v>
      </c>
      <c r="F357" s="65">
        <v>640.80999999999995</v>
      </c>
      <c r="G357" s="65">
        <f t="shared" si="48"/>
        <v>3844.86</v>
      </c>
      <c r="H357" s="126">
        <f t="shared" si="51"/>
        <v>801.2</v>
      </c>
      <c r="I357" s="126">
        <f t="shared" si="49"/>
        <v>4807.22</v>
      </c>
      <c r="J357" s="70">
        <f>TRUNC(F357 * E357, 2)</f>
        <v>3844.86</v>
      </c>
      <c r="K357" s="189">
        <f t="shared" si="50"/>
        <v>9.937213924771089E-4</v>
      </c>
    </row>
    <row r="358" spans="1:11" hidden="1" x14ac:dyDescent="0.2">
      <c r="A358" s="63" t="s">
        <v>775</v>
      </c>
      <c r="B358" s="124" t="s">
        <v>1004</v>
      </c>
      <c r="C358" s="64" t="s">
        <v>476</v>
      </c>
      <c r="D358" s="125" t="s">
        <v>9</v>
      </c>
      <c r="E358" s="65">
        <f>2.85+1.4+0.78</f>
        <v>5.03</v>
      </c>
      <c r="F358" s="65">
        <v>68.790000000000006</v>
      </c>
      <c r="G358" s="65">
        <f t="shared" si="48"/>
        <v>346.01</v>
      </c>
      <c r="H358" s="126">
        <f t="shared" si="51"/>
        <v>86</v>
      </c>
      <c r="I358" s="126">
        <f t="shared" si="49"/>
        <v>432.61</v>
      </c>
      <c r="J358" s="70">
        <f>TRUNC(F358 * E358, 2)</f>
        <v>346.01</v>
      </c>
      <c r="K358" s="189">
        <f t="shared" si="50"/>
        <v>8.9426698091521093E-5</v>
      </c>
    </row>
    <row r="359" spans="1:11" hidden="1" x14ac:dyDescent="0.2">
      <c r="A359" s="63" t="s">
        <v>1105</v>
      </c>
      <c r="B359" s="124" t="s">
        <v>946</v>
      </c>
      <c r="C359" s="64" t="s">
        <v>478</v>
      </c>
      <c r="D359" s="125" t="s">
        <v>9</v>
      </c>
      <c r="E359" s="65">
        <f>2.85+1.4+0.78</f>
        <v>5.03</v>
      </c>
      <c r="F359" s="65">
        <v>41.71</v>
      </c>
      <c r="G359" s="65">
        <f t="shared" si="48"/>
        <v>209.8</v>
      </c>
      <c r="H359" s="126">
        <f t="shared" si="51"/>
        <v>52.15</v>
      </c>
      <c r="I359" s="126">
        <f t="shared" si="49"/>
        <v>262.31</v>
      </c>
      <c r="J359" s="70">
        <f>TRUNC(F359 * E359, 2)</f>
        <v>209.8</v>
      </c>
      <c r="K359" s="189">
        <f t="shared" si="50"/>
        <v>5.4223243051216793E-5</v>
      </c>
    </row>
    <row r="360" spans="1:11" x14ac:dyDescent="0.2">
      <c r="A360" s="127" t="s">
        <v>642</v>
      </c>
      <c r="B360" s="128"/>
      <c r="C360" s="66" t="s">
        <v>1054</v>
      </c>
      <c r="D360" s="66"/>
      <c r="E360" s="141"/>
      <c r="F360" s="143">
        <f>SUM(F361:F375)</f>
        <v>1452.92</v>
      </c>
      <c r="G360" s="143">
        <f>SUM(G361:G375)</f>
        <v>105225.04000000001</v>
      </c>
      <c r="H360" s="129">
        <f>SUM(H361:H375)</f>
        <v>1816.51</v>
      </c>
      <c r="I360" s="129">
        <f>SUM(I361:I375)</f>
        <v>131562.79999999999</v>
      </c>
      <c r="J360" s="75">
        <f>SUM(J361:J375)</f>
        <v>105225.04000000001</v>
      </c>
      <c r="K360" s="189">
        <f t="shared" si="50"/>
        <v>2.719591964049645E-2</v>
      </c>
    </row>
    <row r="361" spans="1:11" hidden="1" x14ac:dyDescent="0.2">
      <c r="A361" s="63" t="s">
        <v>643</v>
      </c>
      <c r="B361" s="124" t="s">
        <v>1005</v>
      </c>
      <c r="C361" s="64" t="s">
        <v>644</v>
      </c>
      <c r="D361" s="125" t="s">
        <v>168</v>
      </c>
      <c r="E361" s="65">
        <f>3+2+1</f>
        <v>6</v>
      </c>
      <c r="F361" s="65">
        <v>150.84</v>
      </c>
      <c r="G361" s="65">
        <f t="shared" si="48"/>
        <v>905.04</v>
      </c>
      <c r="H361" s="126">
        <f t="shared" si="51"/>
        <v>188.59</v>
      </c>
      <c r="I361" s="126">
        <f t="shared" si="49"/>
        <v>1131.57</v>
      </c>
      <c r="J361" s="70">
        <f>TRUNC(F361 * E361, 2)</f>
        <v>905.04</v>
      </c>
      <c r="K361" s="189">
        <f t="shared" si="50"/>
        <v>2.3391176523756388E-4</v>
      </c>
    </row>
    <row r="362" spans="1:11" hidden="1" x14ac:dyDescent="0.2">
      <c r="A362" s="63" t="s">
        <v>645</v>
      </c>
      <c r="B362" s="124" t="s">
        <v>1006</v>
      </c>
      <c r="C362" s="64" t="s">
        <v>646</v>
      </c>
      <c r="D362" s="125" t="s">
        <v>168</v>
      </c>
      <c r="E362" s="65">
        <f>3+2+1</f>
        <v>6</v>
      </c>
      <c r="F362" s="65">
        <v>180.18</v>
      </c>
      <c r="G362" s="65">
        <f t="shared" si="48"/>
        <v>1081.08</v>
      </c>
      <c r="H362" s="126">
        <f t="shared" si="51"/>
        <v>225.27</v>
      </c>
      <c r="I362" s="126">
        <f t="shared" si="49"/>
        <v>1351.67</v>
      </c>
      <c r="J362" s="70">
        <f t="shared" ref="J362:J375" si="52">TRUNC(F362 * E362, 2)</f>
        <v>1081.08</v>
      </c>
      <c r="K362" s="189">
        <f t="shared" si="50"/>
        <v>2.7940959526910223E-4</v>
      </c>
    </row>
    <row r="363" spans="1:11" hidden="1" x14ac:dyDescent="0.2">
      <c r="A363" s="63" t="s">
        <v>647</v>
      </c>
      <c r="B363" s="124" t="s">
        <v>648</v>
      </c>
      <c r="C363" s="64" t="s">
        <v>649</v>
      </c>
      <c r="D363" s="125" t="s">
        <v>168</v>
      </c>
      <c r="E363" s="65">
        <f>29+14+8</f>
        <v>51</v>
      </c>
      <c r="F363" s="65">
        <v>8.36</v>
      </c>
      <c r="G363" s="65">
        <f t="shared" si="48"/>
        <v>426.36</v>
      </c>
      <c r="H363" s="126">
        <f t="shared" si="51"/>
        <v>10.45</v>
      </c>
      <c r="I363" s="126">
        <f t="shared" si="49"/>
        <v>533.07000000000005</v>
      </c>
      <c r="J363" s="70">
        <f t="shared" si="52"/>
        <v>426.36</v>
      </c>
      <c r="K363" s="189">
        <f t="shared" si="50"/>
        <v>1.1019322242122732E-4</v>
      </c>
    </row>
    <row r="364" spans="1:11" hidden="1" x14ac:dyDescent="0.2">
      <c r="A364" s="63" t="s">
        <v>650</v>
      </c>
      <c r="B364" s="124" t="s">
        <v>651</v>
      </c>
      <c r="C364" s="64" t="s">
        <v>652</v>
      </c>
      <c r="D364" s="125" t="s">
        <v>168</v>
      </c>
      <c r="E364" s="65">
        <f>85+42+24</f>
        <v>151</v>
      </c>
      <c r="F364" s="65">
        <v>167.33</v>
      </c>
      <c r="G364" s="65">
        <f t="shared" si="48"/>
        <v>25266.83</v>
      </c>
      <c r="H364" s="126">
        <f t="shared" si="51"/>
        <v>209.21</v>
      </c>
      <c r="I364" s="126">
        <f t="shared" si="49"/>
        <v>31591.11</v>
      </c>
      <c r="J364" s="70">
        <f t="shared" si="52"/>
        <v>25266.83</v>
      </c>
      <c r="K364" s="189">
        <f t="shared" si="50"/>
        <v>6.530335998580784E-3</v>
      </c>
    </row>
    <row r="365" spans="1:11" ht="24" hidden="1" x14ac:dyDescent="0.2">
      <c r="A365" s="63" t="s">
        <v>653</v>
      </c>
      <c r="B365" s="124" t="s">
        <v>654</v>
      </c>
      <c r="C365" s="64" t="s">
        <v>655</v>
      </c>
      <c r="D365" s="125" t="s">
        <v>168</v>
      </c>
      <c r="E365" s="65">
        <f>170+84+47</f>
        <v>301</v>
      </c>
      <c r="F365" s="65">
        <v>6.7</v>
      </c>
      <c r="G365" s="65">
        <f t="shared" si="48"/>
        <v>2016.7</v>
      </c>
      <c r="H365" s="126">
        <f t="shared" si="51"/>
        <v>8.3699999999999992</v>
      </c>
      <c r="I365" s="126">
        <f t="shared" si="49"/>
        <v>2521.48</v>
      </c>
      <c r="J365" s="70">
        <f t="shared" si="52"/>
        <v>2016.7</v>
      </c>
      <c r="K365" s="189">
        <f t="shared" si="50"/>
        <v>5.2122611752804747E-4</v>
      </c>
    </row>
    <row r="366" spans="1:11" hidden="1" x14ac:dyDescent="0.2">
      <c r="A366" s="63" t="s">
        <v>656</v>
      </c>
      <c r="B366" s="124" t="s">
        <v>657</v>
      </c>
      <c r="C366" s="64" t="s">
        <v>658</v>
      </c>
      <c r="D366" s="125" t="s">
        <v>168</v>
      </c>
      <c r="E366" s="65">
        <f>29+14+8</f>
        <v>51</v>
      </c>
      <c r="F366" s="65">
        <v>21.29</v>
      </c>
      <c r="G366" s="65">
        <f t="shared" si="48"/>
        <v>1085.79</v>
      </c>
      <c r="H366" s="126">
        <f t="shared" si="51"/>
        <v>26.61</v>
      </c>
      <c r="I366" s="126">
        <f t="shared" si="49"/>
        <v>1357.56</v>
      </c>
      <c r="J366" s="70">
        <f t="shared" si="52"/>
        <v>1085.79</v>
      </c>
      <c r="K366" s="189">
        <f t="shared" si="50"/>
        <v>2.8062714283332647E-4</v>
      </c>
    </row>
    <row r="367" spans="1:11" hidden="1" x14ac:dyDescent="0.2">
      <c r="A367" s="63" t="s">
        <v>659</v>
      </c>
      <c r="B367" s="124" t="s">
        <v>660</v>
      </c>
      <c r="C367" s="64" t="s">
        <v>661</v>
      </c>
      <c r="D367" s="125" t="s">
        <v>168</v>
      </c>
      <c r="E367" s="65">
        <f>170+84+47</f>
        <v>301</v>
      </c>
      <c r="F367" s="65">
        <v>7.32</v>
      </c>
      <c r="G367" s="65">
        <f t="shared" si="48"/>
        <v>2203.3200000000002</v>
      </c>
      <c r="H367" s="126">
        <f t="shared" si="51"/>
        <v>9.15</v>
      </c>
      <c r="I367" s="126">
        <f t="shared" si="49"/>
        <v>2754.81</v>
      </c>
      <c r="J367" s="70">
        <f t="shared" si="52"/>
        <v>2203.3200000000002</v>
      </c>
      <c r="K367" s="189">
        <f t="shared" si="50"/>
        <v>5.6945877850605217E-4</v>
      </c>
    </row>
    <row r="368" spans="1:11" hidden="1" x14ac:dyDescent="0.2">
      <c r="A368" s="63" t="s">
        <v>662</v>
      </c>
      <c r="B368" s="124" t="s">
        <v>663</v>
      </c>
      <c r="C368" s="64" t="s">
        <v>664</v>
      </c>
      <c r="D368" s="125" t="s">
        <v>267</v>
      </c>
      <c r="E368" s="65">
        <f>60+30+15.59</f>
        <v>105.59</v>
      </c>
      <c r="F368" s="65">
        <v>62.06</v>
      </c>
      <c r="G368" s="65">
        <f t="shared" si="48"/>
        <v>6552.91</v>
      </c>
      <c r="H368" s="126">
        <f t="shared" si="51"/>
        <v>77.59</v>
      </c>
      <c r="I368" s="126">
        <f t="shared" si="49"/>
        <v>8193.1</v>
      </c>
      <c r="J368" s="70">
        <f t="shared" si="52"/>
        <v>6552.91</v>
      </c>
      <c r="K368" s="189">
        <f t="shared" si="50"/>
        <v>1.6936314004152503E-3</v>
      </c>
    </row>
    <row r="369" spans="1:11" ht="28.5" hidden="1" customHeight="1" x14ac:dyDescent="0.2">
      <c r="A369" s="63" t="s">
        <v>665</v>
      </c>
      <c r="B369" s="124" t="s">
        <v>666</v>
      </c>
      <c r="C369" s="64" t="s">
        <v>667</v>
      </c>
      <c r="D369" s="125" t="s">
        <v>267</v>
      </c>
      <c r="E369" s="65">
        <f>200+120+62.39</f>
        <v>382.39</v>
      </c>
      <c r="F369" s="65">
        <v>70.23</v>
      </c>
      <c r="G369" s="65">
        <f t="shared" si="48"/>
        <v>26855.24</v>
      </c>
      <c r="H369" s="126">
        <f t="shared" si="51"/>
        <v>87.8</v>
      </c>
      <c r="I369" s="126">
        <f t="shared" si="49"/>
        <v>33577.1</v>
      </c>
      <c r="J369" s="70">
        <f t="shared" si="52"/>
        <v>26855.24</v>
      </c>
      <c r="K369" s="189">
        <f t="shared" si="50"/>
        <v>6.9408686449430497E-3</v>
      </c>
    </row>
    <row r="370" spans="1:11" ht="17.25" hidden="1" customHeight="1" x14ac:dyDescent="0.2">
      <c r="A370" s="63" t="s">
        <v>668</v>
      </c>
      <c r="B370" s="124" t="s">
        <v>1007</v>
      </c>
      <c r="C370" s="64" t="s">
        <v>669</v>
      </c>
      <c r="D370" s="125" t="s">
        <v>168</v>
      </c>
      <c r="E370" s="65">
        <f>29+14+8</f>
        <v>51</v>
      </c>
      <c r="F370" s="65">
        <v>77.28</v>
      </c>
      <c r="G370" s="65">
        <f t="shared" si="48"/>
        <v>3941.28</v>
      </c>
      <c r="H370" s="126">
        <f t="shared" si="51"/>
        <v>96.62</v>
      </c>
      <c r="I370" s="126">
        <f t="shared" si="49"/>
        <v>4927.78</v>
      </c>
      <c r="J370" s="70">
        <f t="shared" si="52"/>
        <v>3941.28</v>
      </c>
      <c r="K370" s="189">
        <f t="shared" si="50"/>
        <v>1.0186428753876141E-3</v>
      </c>
    </row>
    <row r="371" spans="1:11" ht="17.25" hidden="1" customHeight="1" x14ac:dyDescent="0.2">
      <c r="A371" s="63" t="s">
        <v>670</v>
      </c>
      <c r="B371" s="124" t="s">
        <v>671</v>
      </c>
      <c r="C371" s="64" t="s">
        <v>672</v>
      </c>
      <c r="D371" s="125" t="s">
        <v>168</v>
      </c>
      <c r="E371" s="65">
        <f>29+14+8</f>
        <v>51</v>
      </c>
      <c r="F371" s="65">
        <v>394.37</v>
      </c>
      <c r="G371" s="65">
        <f t="shared" si="48"/>
        <v>20112.87</v>
      </c>
      <c r="H371" s="126">
        <f t="shared" si="51"/>
        <v>493.08</v>
      </c>
      <c r="I371" s="126">
        <f t="shared" si="49"/>
        <v>25147.119999999999</v>
      </c>
      <c r="J371" s="70">
        <f t="shared" si="52"/>
        <v>20112.87</v>
      </c>
      <c r="K371" s="189">
        <f t="shared" si="50"/>
        <v>5.198270747581544E-3</v>
      </c>
    </row>
    <row r="372" spans="1:11" ht="29.25" hidden="1" customHeight="1" x14ac:dyDescent="0.2">
      <c r="A372" s="63" t="s">
        <v>673</v>
      </c>
      <c r="B372" s="124" t="s">
        <v>1008</v>
      </c>
      <c r="C372" s="64" t="s">
        <v>674</v>
      </c>
      <c r="D372" s="125" t="s">
        <v>168</v>
      </c>
      <c r="E372" s="65">
        <f>29+14+8</f>
        <v>51</v>
      </c>
      <c r="F372" s="65">
        <v>177.18</v>
      </c>
      <c r="G372" s="65">
        <f t="shared" si="48"/>
        <v>9036.18</v>
      </c>
      <c r="H372" s="126">
        <f t="shared" si="51"/>
        <v>221.52</v>
      </c>
      <c r="I372" s="126">
        <f t="shared" si="49"/>
        <v>11297.93</v>
      </c>
      <c r="J372" s="70">
        <f t="shared" si="52"/>
        <v>9036.18</v>
      </c>
      <c r="K372" s="189">
        <f t="shared" si="50"/>
        <v>2.3354443382472409E-3</v>
      </c>
    </row>
    <row r="373" spans="1:11" ht="18" hidden="1" customHeight="1" x14ac:dyDescent="0.2">
      <c r="A373" s="63" t="s">
        <v>675</v>
      </c>
      <c r="B373" s="124" t="s">
        <v>676</v>
      </c>
      <c r="C373" s="64" t="s">
        <v>677</v>
      </c>
      <c r="D373" s="125" t="s">
        <v>168</v>
      </c>
      <c r="E373" s="65">
        <f>12+6+4</f>
        <v>22</v>
      </c>
      <c r="F373" s="65">
        <v>19.28</v>
      </c>
      <c r="G373" s="65">
        <f t="shared" si="48"/>
        <v>424.16</v>
      </c>
      <c r="H373" s="126">
        <f t="shared" si="51"/>
        <v>24.1</v>
      </c>
      <c r="I373" s="126">
        <f t="shared" si="49"/>
        <v>530.32000000000005</v>
      </c>
      <c r="J373" s="70">
        <f t="shared" si="52"/>
        <v>424.16</v>
      </c>
      <c r="K373" s="189">
        <f t="shared" si="50"/>
        <v>1.0962475793877966E-4</v>
      </c>
    </row>
    <row r="374" spans="1:11" ht="18" hidden="1" customHeight="1" x14ac:dyDescent="0.2">
      <c r="A374" s="63" t="s">
        <v>678</v>
      </c>
      <c r="B374" s="124" t="s">
        <v>945</v>
      </c>
      <c r="C374" s="64" t="s">
        <v>476</v>
      </c>
      <c r="D374" s="125" t="s">
        <v>9</v>
      </c>
      <c r="E374" s="65">
        <f>28.2+14+7.8</f>
        <v>50</v>
      </c>
      <c r="F374" s="65">
        <v>68.790000000000006</v>
      </c>
      <c r="G374" s="65">
        <f t="shared" si="48"/>
        <v>3439.5</v>
      </c>
      <c r="H374" s="126">
        <f t="shared" si="51"/>
        <v>86</v>
      </c>
      <c r="I374" s="126">
        <f t="shared" si="49"/>
        <v>4300.3999999999996</v>
      </c>
      <c r="J374" s="70">
        <f t="shared" si="52"/>
        <v>3439.5</v>
      </c>
      <c r="K374" s="189">
        <f t="shared" si="50"/>
        <v>8.8895442193379082E-4</v>
      </c>
    </row>
    <row r="375" spans="1:11" ht="16.5" hidden="1" customHeight="1" x14ac:dyDescent="0.2">
      <c r="A375" s="63" t="s">
        <v>679</v>
      </c>
      <c r="B375" s="124" t="s">
        <v>946</v>
      </c>
      <c r="C375" s="64" t="s">
        <v>478</v>
      </c>
      <c r="D375" s="125" t="s">
        <v>9</v>
      </c>
      <c r="E375" s="65">
        <f>25.4+12.6+7.02</f>
        <v>45.019999999999996</v>
      </c>
      <c r="F375" s="65">
        <v>41.71</v>
      </c>
      <c r="G375" s="65">
        <f t="shared" si="48"/>
        <v>1877.78</v>
      </c>
      <c r="H375" s="126">
        <f t="shared" si="51"/>
        <v>52.15</v>
      </c>
      <c r="I375" s="126">
        <f t="shared" si="49"/>
        <v>2347.7800000000002</v>
      </c>
      <c r="J375" s="70">
        <f t="shared" si="52"/>
        <v>1877.78</v>
      </c>
      <c r="K375" s="189">
        <f t="shared" si="50"/>
        <v>4.8531983367308061E-4</v>
      </c>
    </row>
    <row r="376" spans="1:11" x14ac:dyDescent="0.2">
      <c r="A376" s="127" t="s">
        <v>680</v>
      </c>
      <c r="B376" s="128"/>
      <c r="C376" s="66" t="s">
        <v>1055</v>
      </c>
      <c r="D376" s="66"/>
      <c r="E376" s="141"/>
      <c r="F376" s="143">
        <f>SUM(F377:F390)</f>
        <v>3271.42</v>
      </c>
      <c r="G376" s="143">
        <f>SUM(G377:G390)</f>
        <v>48818.07</v>
      </c>
      <c r="H376" s="129">
        <f>SUM(H377:H390)</f>
        <v>4090.1700000000005</v>
      </c>
      <c r="I376" s="129">
        <f>SUM(I377:I390)</f>
        <v>61037.16</v>
      </c>
      <c r="J376" s="75">
        <f>SUM(J377:J390)</f>
        <v>48818.07</v>
      </c>
      <c r="K376" s="189">
        <f t="shared" si="50"/>
        <v>1.2617257297990956E-2</v>
      </c>
    </row>
    <row r="377" spans="1:11" ht="28.5" hidden="1" customHeight="1" x14ac:dyDescent="0.2">
      <c r="A377" s="63" t="s">
        <v>681</v>
      </c>
      <c r="B377" s="124" t="s">
        <v>1009</v>
      </c>
      <c r="C377" s="64" t="s">
        <v>682</v>
      </c>
      <c r="D377" s="125" t="s">
        <v>267</v>
      </c>
      <c r="E377" s="65">
        <f>56.5+30+18</f>
        <v>104.5</v>
      </c>
      <c r="F377" s="65">
        <v>29.22</v>
      </c>
      <c r="G377" s="65">
        <f t="shared" si="48"/>
        <v>3053.49</v>
      </c>
      <c r="H377" s="126">
        <f t="shared" si="51"/>
        <v>36.53</v>
      </c>
      <c r="I377" s="126">
        <f t="shared" si="49"/>
        <v>3817.77</v>
      </c>
      <c r="J377" s="70">
        <f>TRUNC(F377 * E377, 2)</f>
        <v>3053.49</v>
      </c>
      <c r="K377" s="189">
        <f t="shared" si="50"/>
        <v>7.8918787169244002E-4</v>
      </c>
    </row>
    <row r="378" spans="1:11" ht="25.5" hidden="1" x14ac:dyDescent="0.2">
      <c r="A378" s="63" t="s">
        <v>683</v>
      </c>
      <c r="B378" s="124" t="s">
        <v>1010</v>
      </c>
      <c r="C378" s="64" t="s">
        <v>684</v>
      </c>
      <c r="D378" s="125" t="s">
        <v>168</v>
      </c>
      <c r="E378" s="65">
        <f>12+7+5</f>
        <v>24</v>
      </c>
      <c r="F378" s="65">
        <v>38.5</v>
      </c>
      <c r="G378" s="65">
        <f t="shared" si="48"/>
        <v>924</v>
      </c>
      <c r="H378" s="126">
        <f t="shared" si="51"/>
        <v>48.13</v>
      </c>
      <c r="I378" s="126">
        <f t="shared" si="49"/>
        <v>1155.27</v>
      </c>
      <c r="J378" s="70">
        <f t="shared" ref="J378:J390" si="53">TRUNC(F378 * E378, 2)</f>
        <v>924</v>
      </c>
      <c r="K378" s="189">
        <f t="shared" si="50"/>
        <v>2.3881089550447648E-4</v>
      </c>
    </row>
    <row r="379" spans="1:11" ht="29.25" hidden="1" customHeight="1" x14ac:dyDescent="0.2">
      <c r="A379" s="63" t="s">
        <v>685</v>
      </c>
      <c r="B379" s="124" t="s">
        <v>1011</v>
      </c>
      <c r="C379" s="64" t="s">
        <v>686</v>
      </c>
      <c r="D379" s="125" t="s">
        <v>168</v>
      </c>
      <c r="E379" s="65">
        <f>29+15+9</f>
        <v>53</v>
      </c>
      <c r="F379" s="65">
        <v>24.92</v>
      </c>
      <c r="G379" s="65">
        <f t="shared" si="48"/>
        <v>1320.76</v>
      </c>
      <c r="H379" s="126">
        <f t="shared" si="51"/>
        <v>31.15</v>
      </c>
      <c r="I379" s="126">
        <f t="shared" si="49"/>
        <v>1651.34</v>
      </c>
      <c r="J379" s="70">
        <f t="shared" si="53"/>
        <v>1320.76</v>
      </c>
      <c r="K379" s="189">
        <f t="shared" si="50"/>
        <v>3.4135568670731704E-4</v>
      </c>
    </row>
    <row r="380" spans="1:11" hidden="1" x14ac:dyDescent="0.2">
      <c r="A380" s="63" t="s">
        <v>687</v>
      </c>
      <c r="B380" s="124" t="s">
        <v>688</v>
      </c>
      <c r="C380" s="64" t="s">
        <v>689</v>
      </c>
      <c r="D380" s="125" t="s">
        <v>168</v>
      </c>
      <c r="E380" s="65">
        <f>29+15+9</f>
        <v>53</v>
      </c>
      <c r="F380" s="65">
        <v>20.43</v>
      </c>
      <c r="G380" s="65">
        <f t="shared" si="48"/>
        <v>1082.79</v>
      </c>
      <c r="H380" s="126">
        <f t="shared" si="51"/>
        <v>25.54</v>
      </c>
      <c r="I380" s="126">
        <f t="shared" si="49"/>
        <v>1353.81</v>
      </c>
      <c r="J380" s="70">
        <f t="shared" si="53"/>
        <v>1082.79</v>
      </c>
      <c r="K380" s="189">
        <f t="shared" si="50"/>
        <v>2.7985196399362512E-4</v>
      </c>
    </row>
    <row r="381" spans="1:11" ht="18" hidden="1" customHeight="1" x14ac:dyDescent="0.2">
      <c r="A381" s="63" t="s">
        <v>690</v>
      </c>
      <c r="B381" s="124" t="s">
        <v>691</v>
      </c>
      <c r="C381" s="64" t="s">
        <v>692</v>
      </c>
      <c r="D381" s="125" t="s">
        <v>168</v>
      </c>
      <c r="E381" s="65">
        <f>12+7+5</f>
        <v>24</v>
      </c>
      <c r="F381" s="65">
        <v>15.1</v>
      </c>
      <c r="G381" s="65">
        <f t="shared" si="48"/>
        <v>362.4</v>
      </c>
      <c r="H381" s="126">
        <f t="shared" si="51"/>
        <v>18.87</v>
      </c>
      <c r="I381" s="126">
        <f t="shared" si="49"/>
        <v>453.1</v>
      </c>
      <c r="J381" s="70">
        <f t="shared" si="53"/>
        <v>362.4</v>
      </c>
      <c r="K381" s="189">
        <f t="shared" si="50"/>
        <v>9.3662275271649305E-5</v>
      </c>
    </row>
    <row r="382" spans="1:11" ht="45" hidden="1" customHeight="1" x14ac:dyDescent="0.2">
      <c r="A382" s="63" t="s">
        <v>693</v>
      </c>
      <c r="B382" s="124" t="s">
        <v>473</v>
      </c>
      <c r="C382" s="64" t="s">
        <v>474</v>
      </c>
      <c r="D382" s="125" t="s">
        <v>168</v>
      </c>
      <c r="E382" s="65">
        <f>6+3+3</f>
        <v>12</v>
      </c>
      <c r="F382" s="65">
        <v>640.80999999999995</v>
      </c>
      <c r="G382" s="65">
        <f t="shared" si="48"/>
        <v>7689.72</v>
      </c>
      <c r="H382" s="126">
        <f t="shared" si="51"/>
        <v>801.2</v>
      </c>
      <c r="I382" s="126">
        <f t="shared" si="49"/>
        <v>9614.4500000000007</v>
      </c>
      <c r="J382" s="70">
        <f t="shared" si="53"/>
        <v>7689.72</v>
      </c>
      <c r="K382" s="189">
        <f t="shared" si="50"/>
        <v>1.98744485209779E-3</v>
      </c>
    </row>
    <row r="383" spans="1:11" ht="16.5" hidden="1" customHeight="1" x14ac:dyDescent="0.2">
      <c r="A383" s="63" t="s">
        <v>694</v>
      </c>
      <c r="B383" s="124" t="s">
        <v>945</v>
      </c>
      <c r="C383" s="64" t="s">
        <v>476</v>
      </c>
      <c r="D383" s="125" t="s">
        <v>9</v>
      </c>
      <c r="E383" s="65">
        <f>11.3+5.6+3.12</f>
        <v>20.02</v>
      </c>
      <c r="F383" s="65">
        <v>68.790000000000006</v>
      </c>
      <c r="G383" s="65">
        <f t="shared" si="48"/>
        <v>1377.17</v>
      </c>
      <c r="H383" s="126">
        <f t="shared" si="51"/>
        <v>86</v>
      </c>
      <c r="I383" s="126">
        <f t="shared" si="49"/>
        <v>1721.87</v>
      </c>
      <c r="J383" s="70">
        <f t="shared" si="53"/>
        <v>1377.17</v>
      </c>
      <c r="K383" s="189">
        <f t="shared" si="50"/>
        <v>3.559352503244202E-4</v>
      </c>
    </row>
    <row r="384" spans="1:11" ht="15.75" hidden="1" customHeight="1" x14ac:dyDescent="0.2">
      <c r="A384" s="63" t="s">
        <v>695</v>
      </c>
      <c r="B384" s="124" t="s">
        <v>946</v>
      </c>
      <c r="C384" s="64" t="s">
        <v>478</v>
      </c>
      <c r="D384" s="125" t="s">
        <v>9</v>
      </c>
      <c r="E384" s="65">
        <f>5.65+2.8+1.56</f>
        <v>10.01</v>
      </c>
      <c r="F384" s="65">
        <v>41.71</v>
      </c>
      <c r="G384" s="65">
        <f t="shared" si="48"/>
        <v>417.51</v>
      </c>
      <c r="H384" s="126">
        <f t="shared" si="51"/>
        <v>52.15</v>
      </c>
      <c r="I384" s="126">
        <f t="shared" si="49"/>
        <v>522.01</v>
      </c>
      <c r="J384" s="70">
        <f t="shared" si="53"/>
        <v>417.51</v>
      </c>
      <c r="K384" s="189">
        <f t="shared" si="50"/>
        <v>1.0790696163000144E-4</v>
      </c>
    </row>
    <row r="385" spans="1:11" ht="41.25" hidden="1" customHeight="1" x14ac:dyDescent="0.2">
      <c r="A385" s="63" t="s">
        <v>696</v>
      </c>
      <c r="B385" s="124" t="s">
        <v>697</v>
      </c>
      <c r="C385" s="64" t="s">
        <v>1073</v>
      </c>
      <c r="D385" s="125" t="s">
        <v>267</v>
      </c>
      <c r="E385" s="65">
        <f>16.95+8.4+4.68</f>
        <v>30.03</v>
      </c>
      <c r="F385" s="65">
        <v>75.319999999999993</v>
      </c>
      <c r="G385" s="65">
        <f t="shared" si="48"/>
        <v>2261.85</v>
      </c>
      <c r="H385" s="126">
        <f t="shared" si="51"/>
        <v>94.17</v>
      </c>
      <c r="I385" s="126">
        <f t="shared" si="49"/>
        <v>2827.99</v>
      </c>
      <c r="J385" s="70">
        <f t="shared" si="53"/>
        <v>2261.85</v>
      </c>
      <c r="K385" s="189">
        <f t="shared" si="50"/>
        <v>5.8458613516987746E-4</v>
      </c>
    </row>
    <row r="386" spans="1:11" ht="27.75" hidden="1" customHeight="1" x14ac:dyDescent="0.2">
      <c r="A386" s="63" t="s">
        <v>698</v>
      </c>
      <c r="B386" s="124" t="s">
        <v>1012</v>
      </c>
      <c r="C386" s="64" t="s">
        <v>699</v>
      </c>
      <c r="D386" s="125" t="s">
        <v>267</v>
      </c>
      <c r="E386" s="65">
        <f>16.95+8.4+5</f>
        <v>30.35</v>
      </c>
      <c r="F386" s="65">
        <v>91.61</v>
      </c>
      <c r="G386" s="65">
        <f t="shared" ref="G386:G397" si="54">TRUNC(E386*F386,2)</f>
        <v>2780.36</v>
      </c>
      <c r="H386" s="126">
        <f t="shared" si="51"/>
        <v>114.53</v>
      </c>
      <c r="I386" s="126">
        <f t="shared" ref="I386:I397" si="55">TRUNC(G386*(1+I$8),2)</f>
        <v>3476.28</v>
      </c>
      <c r="J386" s="70">
        <f t="shared" si="53"/>
        <v>2780.36</v>
      </c>
      <c r="K386" s="189">
        <f t="shared" si="50"/>
        <v>7.1859698583387564E-4</v>
      </c>
    </row>
    <row r="387" spans="1:11" ht="19.5" hidden="1" customHeight="1" x14ac:dyDescent="0.2">
      <c r="A387" s="63" t="s">
        <v>700</v>
      </c>
      <c r="B387" s="124" t="s">
        <v>1013</v>
      </c>
      <c r="C387" s="64" t="s">
        <v>701</v>
      </c>
      <c r="D387" s="125" t="s">
        <v>9</v>
      </c>
      <c r="E387" s="65">
        <f>8.5+4.2+2.34</f>
        <v>15.04</v>
      </c>
      <c r="F387" s="65">
        <v>24.93</v>
      </c>
      <c r="G387" s="65">
        <f t="shared" si="54"/>
        <v>374.94</v>
      </c>
      <c r="H387" s="126">
        <f t="shared" si="51"/>
        <v>31.16</v>
      </c>
      <c r="I387" s="126">
        <f t="shared" si="55"/>
        <v>468.78</v>
      </c>
      <c r="J387" s="70">
        <f t="shared" si="53"/>
        <v>374.94</v>
      </c>
      <c r="K387" s="189">
        <f t="shared" si="50"/>
        <v>9.6903556393387245E-5</v>
      </c>
    </row>
    <row r="388" spans="1:11" ht="42" hidden="1" customHeight="1" x14ac:dyDescent="0.2">
      <c r="A388" s="63" t="s">
        <v>702</v>
      </c>
      <c r="B388" s="124" t="s">
        <v>1014</v>
      </c>
      <c r="C388" s="64" t="s">
        <v>703</v>
      </c>
      <c r="D388" s="125" t="s">
        <v>9</v>
      </c>
      <c r="E388" s="65">
        <f>5.65+2.8+1.56</f>
        <v>10.01</v>
      </c>
      <c r="F388" s="65">
        <v>55.16</v>
      </c>
      <c r="G388" s="65">
        <f t="shared" si="54"/>
        <v>552.15</v>
      </c>
      <c r="H388" s="126">
        <f t="shared" si="51"/>
        <v>68.959999999999994</v>
      </c>
      <c r="I388" s="126">
        <f t="shared" si="55"/>
        <v>690.35</v>
      </c>
      <c r="J388" s="70">
        <f t="shared" si="53"/>
        <v>552.15</v>
      </c>
      <c r="K388" s="189">
        <f t="shared" si="50"/>
        <v>1.4270525653008851E-4</v>
      </c>
    </row>
    <row r="389" spans="1:11" ht="32.25" hidden="1" customHeight="1" x14ac:dyDescent="0.2">
      <c r="A389" s="63" t="s">
        <v>704</v>
      </c>
      <c r="B389" s="124" t="s">
        <v>1015</v>
      </c>
      <c r="C389" s="64" t="s">
        <v>705</v>
      </c>
      <c r="D389" s="125" t="s">
        <v>9</v>
      </c>
      <c r="E389" s="65">
        <f>16.95+8.4+5</f>
        <v>30.35</v>
      </c>
      <c r="F389" s="65">
        <v>564.74</v>
      </c>
      <c r="G389" s="65">
        <f t="shared" si="54"/>
        <v>17139.849999999999</v>
      </c>
      <c r="H389" s="126">
        <f t="shared" si="51"/>
        <v>706.09</v>
      </c>
      <c r="I389" s="126">
        <f t="shared" si="55"/>
        <v>21429.95</v>
      </c>
      <c r="J389" s="70">
        <f t="shared" si="53"/>
        <v>17139.849999999999</v>
      </c>
      <c r="K389" s="189">
        <f t="shared" si="50"/>
        <v>4.429878340228826E-3</v>
      </c>
    </row>
    <row r="390" spans="1:11" ht="41.25" hidden="1" customHeight="1" x14ac:dyDescent="0.2">
      <c r="A390" s="63" t="s">
        <v>706</v>
      </c>
      <c r="B390" s="124" t="s">
        <v>1016</v>
      </c>
      <c r="C390" s="64" t="s">
        <v>707</v>
      </c>
      <c r="D390" s="125" t="s">
        <v>168</v>
      </c>
      <c r="E390" s="65">
        <f>3+2+1</f>
        <v>6</v>
      </c>
      <c r="F390" s="65">
        <v>1580.18</v>
      </c>
      <c r="G390" s="65">
        <f t="shared" si="54"/>
        <v>9481.08</v>
      </c>
      <c r="H390" s="126">
        <f t="shared" si="51"/>
        <v>1975.69</v>
      </c>
      <c r="I390" s="126">
        <f t="shared" si="55"/>
        <v>11854.19</v>
      </c>
      <c r="J390" s="70">
        <f t="shared" si="53"/>
        <v>9481.08</v>
      </c>
      <c r="K390" s="189">
        <f t="shared" si="50"/>
        <v>2.4504312666131815E-3</v>
      </c>
    </row>
    <row r="391" spans="1:11" x14ac:dyDescent="0.2">
      <c r="A391" s="127" t="s">
        <v>708</v>
      </c>
      <c r="B391" s="128"/>
      <c r="C391" s="66" t="s">
        <v>1051</v>
      </c>
      <c r="D391" s="66" t="s">
        <v>1217</v>
      </c>
      <c r="E391" s="141">
        <v>528.13</v>
      </c>
      <c r="F391" s="143">
        <f>F392+F393+F394+F395+F396+F397</f>
        <v>970.61</v>
      </c>
      <c r="G391" s="143">
        <f>G392+G393+G394+G395+G396+G397</f>
        <v>299376.7</v>
      </c>
      <c r="H391" s="129">
        <f>SUM(H392:H397)</f>
        <v>1213.5300000000002</v>
      </c>
      <c r="I391" s="129">
        <f>SUM(I392:I397)</f>
        <v>374310.66000000003</v>
      </c>
      <c r="J391" s="75">
        <f>SUM(J392:J397)</f>
        <v>299376.7</v>
      </c>
      <c r="K391" s="200">
        <f t="shared" si="50"/>
        <v>7.737538749510646E-2</v>
      </c>
    </row>
    <row r="392" spans="1:11" ht="31.5" hidden="1" customHeight="1" x14ac:dyDescent="0.2">
      <c r="A392" s="63" t="s">
        <v>763</v>
      </c>
      <c r="B392" s="124" t="s">
        <v>1017</v>
      </c>
      <c r="C392" s="64" t="s">
        <v>709</v>
      </c>
      <c r="D392" s="125" t="s">
        <v>4</v>
      </c>
      <c r="E392" s="65">
        <f>580+167.9+270</f>
        <v>1017.9</v>
      </c>
      <c r="F392" s="65">
        <v>107.25</v>
      </c>
      <c r="G392" s="65">
        <f t="shared" si="54"/>
        <v>109169.77</v>
      </c>
      <c r="H392" s="126">
        <f t="shared" si="51"/>
        <v>134.09</v>
      </c>
      <c r="I392" s="126">
        <f t="shared" si="55"/>
        <v>136494.96</v>
      </c>
      <c r="J392" s="70">
        <f>TRUNC(F392 * E392, 2)</f>
        <v>109169.77</v>
      </c>
      <c r="K392" s="189">
        <f t="shared" si="50"/>
        <v>2.8215467924768839E-2</v>
      </c>
    </row>
    <row r="393" spans="1:11" ht="29.25" hidden="1" customHeight="1" x14ac:dyDescent="0.2">
      <c r="A393" s="63" t="s">
        <v>764</v>
      </c>
      <c r="B393" s="124" t="s">
        <v>1018</v>
      </c>
      <c r="C393" s="64" t="s">
        <v>710</v>
      </c>
      <c r="D393" s="125" t="s">
        <v>9</v>
      </c>
      <c r="E393" s="65">
        <f>18+85.95+7</f>
        <v>110.95</v>
      </c>
      <c r="F393" s="65">
        <v>563.53</v>
      </c>
      <c r="G393" s="65">
        <f t="shared" si="54"/>
        <v>62523.65</v>
      </c>
      <c r="H393" s="126">
        <f t="shared" si="51"/>
        <v>704.58</v>
      </c>
      <c r="I393" s="126">
        <f t="shared" si="55"/>
        <v>78173.31</v>
      </c>
      <c r="J393" s="70">
        <f t="shared" ref="J393:J397" si="56">TRUNC(F393 * E393, 2)</f>
        <v>62523.65</v>
      </c>
      <c r="K393" s="189">
        <f t="shared" si="50"/>
        <v>1.6159545531043866E-2</v>
      </c>
    </row>
    <row r="394" spans="1:11" ht="31.5" hidden="1" customHeight="1" x14ac:dyDescent="0.2">
      <c r="A394" s="63" t="s">
        <v>765</v>
      </c>
      <c r="B394" s="124" t="s">
        <v>711</v>
      </c>
      <c r="C394" s="64" t="s">
        <v>712</v>
      </c>
      <c r="D394" s="125" t="s">
        <v>4</v>
      </c>
      <c r="E394" s="65">
        <f>580+85.95+270</f>
        <v>935.95</v>
      </c>
      <c r="F394" s="65">
        <v>31.2</v>
      </c>
      <c r="G394" s="65">
        <f t="shared" si="54"/>
        <v>29201.64</v>
      </c>
      <c r="H394" s="126">
        <f t="shared" si="51"/>
        <v>39</v>
      </c>
      <c r="I394" s="126">
        <f t="shared" si="55"/>
        <v>36510.81</v>
      </c>
      <c r="J394" s="70">
        <f t="shared" si="56"/>
        <v>29201.64</v>
      </c>
      <c r="K394" s="189">
        <f t="shared" si="50"/>
        <v>7.5473086219617876E-3</v>
      </c>
    </row>
    <row r="395" spans="1:11" ht="27.75" hidden="1" customHeight="1" x14ac:dyDescent="0.2">
      <c r="A395" s="63" t="s">
        <v>766</v>
      </c>
      <c r="B395" s="124" t="s">
        <v>1019</v>
      </c>
      <c r="C395" s="64" t="s">
        <v>713</v>
      </c>
      <c r="D395" s="125" t="s">
        <v>267</v>
      </c>
      <c r="E395" s="65">
        <f>100+48+120</f>
        <v>268</v>
      </c>
      <c r="F395" s="65">
        <v>104.33</v>
      </c>
      <c r="G395" s="65">
        <f t="shared" si="54"/>
        <v>27960.44</v>
      </c>
      <c r="H395" s="126">
        <f t="shared" si="51"/>
        <v>130.44</v>
      </c>
      <c r="I395" s="126">
        <f t="shared" si="55"/>
        <v>34958.93</v>
      </c>
      <c r="J395" s="70">
        <f t="shared" si="56"/>
        <v>27960.44</v>
      </c>
      <c r="K395" s="189">
        <f t="shared" si="50"/>
        <v>7.2265127452269236E-3</v>
      </c>
    </row>
    <row r="396" spans="1:11" ht="30" hidden="1" customHeight="1" x14ac:dyDescent="0.2">
      <c r="A396" s="63" t="s">
        <v>1106</v>
      </c>
      <c r="B396" s="124" t="s">
        <v>714</v>
      </c>
      <c r="C396" s="64" t="s">
        <v>715</v>
      </c>
      <c r="D396" s="125" t="s">
        <v>4</v>
      </c>
      <c r="E396" s="65">
        <f>150+58</f>
        <v>208</v>
      </c>
      <c r="F396" s="65">
        <v>77.760000000000005</v>
      </c>
      <c r="G396" s="65">
        <f t="shared" si="54"/>
        <v>16174.08</v>
      </c>
      <c r="H396" s="126">
        <f t="shared" si="51"/>
        <v>97.22</v>
      </c>
      <c r="I396" s="126">
        <f t="shared" si="55"/>
        <v>20222.45</v>
      </c>
      <c r="J396" s="70">
        <f t="shared" si="56"/>
        <v>16174.08</v>
      </c>
      <c r="K396" s="189">
        <f t="shared" ref="K396:K424" si="57">I396/$I$431</f>
        <v>4.1802707538449889E-3</v>
      </c>
    </row>
    <row r="397" spans="1:11" ht="25.5" x14ac:dyDescent="0.2">
      <c r="A397" s="63" t="s">
        <v>1107</v>
      </c>
      <c r="B397" s="124" t="s">
        <v>716</v>
      </c>
      <c r="C397" s="64" t="s">
        <v>717</v>
      </c>
      <c r="D397" s="125" t="s">
        <v>4</v>
      </c>
      <c r="E397" s="65">
        <f>300+58+270</f>
        <v>628</v>
      </c>
      <c r="F397" s="65">
        <v>86.54</v>
      </c>
      <c r="G397" s="65">
        <f t="shared" si="54"/>
        <v>54347.12</v>
      </c>
      <c r="H397" s="126">
        <f t="shared" si="51"/>
        <v>108.2</v>
      </c>
      <c r="I397" s="126">
        <f t="shared" si="55"/>
        <v>67950.2</v>
      </c>
      <c r="J397" s="70">
        <f t="shared" si="56"/>
        <v>54347.12</v>
      </c>
      <c r="K397" s="201">
        <f>I397/I391</f>
        <v>0.18153423682884157</v>
      </c>
    </row>
    <row r="398" spans="1:11" x14ac:dyDescent="0.2">
      <c r="A398" s="127" t="s">
        <v>718</v>
      </c>
      <c r="B398" s="128"/>
      <c r="C398" s="66" t="s">
        <v>1050</v>
      </c>
      <c r="D398" s="66"/>
      <c r="E398" s="141"/>
      <c r="F398" s="143">
        <f>F399</f>
        <v>2276.1000000000004</v>
      </c>
      <c r="G398" s="143">
        <f>G399</f>
        <v>214379.56</v>
      </c>
      <c r="H398" s="129">
        <f>H399</f>
        <v>2845.76</v>
      </c>
      <c r="I398" s="129">
        <f>I399</f>
        <v>268038.71999999997</v>
      </c>
      <c r="J398" s="75">
        <f>J399</f>
        <v>143686.72</v>
      </c>
      <c r="K398" s="189">
        <f t="shared" si="57"/>
        <v>5.5407451723903177E-2</v>
      </c>
    </row>
    <row r="399" spans="1:11" x14ac:dyDescent="0.2">
      <c r="A399" s="127" t="s">
        <v>719</v>
      </c>
      <c r="B399" s="128"/>
      <c r="C399" s="66" t="s">
        <v>720</v>
      </c>
      <c r="D399" s="66"/>
      <c r="E399" s="141"/>
      <c r="F399" s="143">
        <f>SUM(F400:F409)</f>
        <v>2276.1000000000004</v>
      </c>
      <c r="G399" s="143">
        <f>SUM(G400:G409)</f>
        <v>214379.56</v>
      </c>
      <c r="H399" s="129">
        <f>SUM(H400:H409)</f>
        <v>2845.76</v>
      </c>
      <c r="I399" s="129">
        <f>SUM(I400:I409)</f>
        <v>268038.71999999997</v>
      </c>
      <c r="J399" s="75">
        <f>SUM(J400:J409)</f>
        <v>143686.72</v>
      </c>
      <c r="K399" s="189">
        <f t="shared" si="57"/>
        <v>5.5407451723903177E-2</v>
      </c>
    </row>
    <row r="400" spans="1:11" ht="80.25" hidden="1" customHeight="1" x14ac:dyDescent="0.2">
      <c r="A400" s="63" t="s">
        <v>760</v>
      </c>
      <c r="B400" s="124" t="s">
        <v>377</v>
      </c>
      <c r="C400" s="64" t="s">
        <v>1074</v>
      </c>
      <c r="D400" s="125" t="s">
        <v>267</v>
      </c>
      <c r="E400" s="65">
        <f>11.3+5.6+3</f>
        <v>19.899999999999999</v>
      </c>
      <c r="F400" s="65">
        <v>811.16</v>
      </c>
      <c r="G400" s="65">
        <f t="shared" ref="G400:G409" si="58">TRUNC(E400*F400,2)</f>
        <v>16142.08</v>
      </c>
      <c r="H400" s="126">
        <f t="shared" ref="H400:H426" si="59">TRUNC(F400*(1+I$8),2)</f>
        <v>1014.19</v>
      </c>
      <c r="I400" s="126">
        <f t="shared" ref="I400:I409" si="60">TRUNC(G400*(1+I$8),2)</f>
        <v>20182.439999999999</v>
      </c>
      <c r="J400" s="70">
        <f>TRUNC(F400 * E400, 2)</f>
        <v>16142.08</v>
      </c>
      <c r="K400" s="189">
        <f t="shared" si="57"/>
        <v>4.1720001124112682E-3</v>
      </c>
    </row>
    <row r="401" spans="1:11" ht="30.75" hidden="1" customHeight="1" x14ac:dyDescent="0.2">
      <c r="A401" s="63" t="s">
        <v>761</v>
      </c>
      <c r="B401" s="124" t="s">
        <v>1020</v>
      </c>
      <c r="C401" s="64" t="s">
        <v>721</v>
      </c>
      <c r="D401" s="125" t="s">
        <v>4</v>
      </c>
      <c r="E401" s="65">
        <f>564.3+179.8+126</f>
        <v>870.09999999999991</v>
      </c>
      <c r="F401" s="65">
        <v>77.069999999999993</v>
      </c>
      <c r="G401" s="65">
        <f t="shared" si="58"/>
        <v>67058.600000000006</v>
      </c>
      <c r="H401" s="126">
        <f t="shared" si="59"/>
        <v>96.36</v>
      </c>
      <c r="I401" s="126">
        <f t="shared" si="60"/>
        <v>83843.360000000001</v>
      </c>
      <c r="J401" s="70">
        <f>TRUNC(F401 * E401, 2)</f>
        <v>67058.600000000006</v>
      </c>
      <c r="K401" s="189">
        <f t="shared" si="57"/>
        <v>1.7331626272390179E-2</v>
      </c>
    </row>
    <row r="402" spans="1:11" ht="30.75" hidden="1" customHeight="1" x14ac:dyDescent="0.2">
      <c r="A402" s="63" t="s">
        <v>762</v>
      </c>
      <c r="B402" s="124" t="s">
        <v>1021</v>
      </c>
      <c r="C402" s="64" t="s">
        <v>722</v>
      </c>
      <c r="D402" s="125" t="s">
        <v>4</v>
      </c>
      <c r="E402" s="65">
        <f>282.15+139.9+78</f>
        <v>500.04999999999995</v>
      </c>
      <c r="F402" s="65">
        <v>40.35</v>
      </c>
      <c r="G402" s="65">
        <f t="shared" si="58"/>
        <v>20177.009999999998</v>
      </c>
      <c r="H402" s="126">
        <f t="shared" si="59"/>
        <v>50.44</v>
      </c>
      <c r="I402" s="126">
        <f t="shared" si="60"/>
        <v>25227.31</v>
      </c>
      <c r="J402" s="70">
        <f>TRUNC(F402 * E402, 2)</f>
        <v>20177.009999999998</v>
      </c>
      <c r="K402" s="189">
        <f t="shared" si="57"/>
        <v>5.2148471718897185E-3</v>
      </c>
    </row>
    <row r="403" spans="1:11" ht="41.25" hidden="1" customHeight="1" x14ac:dyDescent="0.2">
      <c r="A403" s="63" t="s">
        <v>1245</v>
      </c>
      <c r="B403" s="124" t="s">
        <v>1246</v>
      </c>
      <c r="C403" s="64" t="s">
        <v>1247</v>
      </c>
      <c r="D403" s="125" t="s">
        <v>4</v>
      </c>
      <c r="E403" s="65">
        <f>423.2+139.9+78</f>
        <v>641.1</v>
      </c>
      <c r="F403" s="65">
        <v>23.66</v>
      </c>
      <c r="G403" s="65">
        <f t="shared" si="58"/>
        <v>15168.42</v>
      </c>
      <c r="H403" s="126">
        <f t="shared" si="59"/>
        <v>29.58</v>
      </c>
      <c r="I403" s="126">
        <f t="shared" si="60"/>
        <v>18965.07</v>
      </c>
      <c r="J403" s="70"/>
      <c r="K403" s="189">
        <f t="shared" si="57"/>
        <v>3.9203522553213372E-3</v>
      </c>
    </row>
    <row r="404" spans="1:11" ht="42.75" hidden="1" customHeight="1" x14ac:dyDescent="0.2">
      <c r="A404" s="63" t="s">
        <v>1248</v>
      </c>
      <c r="B404" s="124" t="s">
        <v>1249</v>
      </c>
      <c r="C404" s="64" t="s">
        <v>1250</v>
      </c>
      <c r="D404" s="125" t="s">
        <v>4</v>
      </c>
      <c r="E404" s="65">
        <v>253.95</v>
      </c>
      <c r="F404" s="65">
        <v>27.4</v>
      </c>
      <c r="G404" s="65">
        <f t="shared" si="58"/>
        <v>6958.23</v>
      </c>
      <c r="H404" s="126">
        <f t="shared" si="59"/>
        <v>34.25</v>
      </c>
      <c r="I404" s="126">
        <f t="shared" si="60"/>
        <v>8699.8700000000008</v>
      </c>
      <c r="J404" s="70"/>
      <c r="K404" s="189">
        <f t="shared" si="57"/>
        <v>1.7983880352407057E-3</v>
      </c>
    </row>
    <row r="405" spans="1:11" ht="28.5" hidden="1" customHeight="1" x14ac:dyDescent="0.2">
      <c r="A405" s="63" t="s">
        <v>1251</v>
      </c>
      <c r="B405" s="124" t="s">
        <v>1252</v>
      </c>
      <c r="C405" s="64" t="s">
        <v>1253</v>
      </c>
      <c r="D405" s="125" t="s">
        <v>168</v>
      </c>
      <c r="E405" s="65">
        <v>4</v>
      </c>
      <c r="F405" s="65">
        <v>682.72</v>
      </c>
      <c r="G405" s="65">
        <f t="shared" si="58"/>
        <v>2730.88</v>
      </c>
      <c r="H405" s="126">
        <f t="shared" si="59"/>
        <v>853.6</v>
      </c>
      <c r="I405" s="126">
        <f t="shared" si="60"/>
        <v>3414.41</v>
      </c>
      <c r="J405" s="70"/>
      <c r="K405" s="189">
        <f t="shared" si="57"/>
        <v>7.0580756855058945E-4</v>
      </c>
    </row>
    <row r="406" spans="1:11" ht="27.75" hidden="1" customHeight="1" x14ac:dyDescent="0.2">
      <c r="A406" s="63" t="s">
        <v>1254</v>
      </c>
      <c r="B406" s="124" t="s">
        <v>1255</v>
      </c>
      <c r="C406" s="64" t="s">
        <v>1256</v>
      </c>
      <c r="D406" s="125" t="s">
        <v>168</v>
      </c>
      <c r="E406" s="65">
        <v>3</v>
      </c>
      <c r="F406" s="65">
        <v>86.55</v>
      </c>
      <c r="G406" s="65">
        <f t="shared" si="58"/>
        <v>259.64999999999998</v>
      </c>
      <c r="H406" s="126">
        <f t="shared" si="59"/>
        <v>108.21</v>
      </c>
      <c r="I406" s="126">
        <f t="shared" si="60"/>
        <v>324.64</v>
      </c>
      <c r="J406" s="70"/>
      <c r="K406" s="189">
        <f t="shared" si="57"/>
        <v>6.7107748938839609E-5</v>
      </c>
    </row>
    <row r="407" spans="1:11" ht="31.5" hidden="1" customHeight="1" x14ac:dyDescent="0.2">
      <c r="A407" s="63" t="s">
        <v>1257</v>
      </c>
      <c r="B407" s="124" t="s">
        <v>1258</v>
      </c>
      <c r="C407" s="64" t="s">
        <v>1259</v>
      </c>
      <c r="D407" s="125" t="s">
        <v>4</v>
      </c>
      <c r="E407" s="65">
        <v>3</v>
      </c>
      <c r="F407" s="65">
        <v>247.99</v>
      </c>
      <c r="G407" s="65">
        <f t="shared" si="58"/>
        <v>743.97</v>
      </c>
      <c r="H407" s="126">
        <f t="shared" si="59"/>
        <v>310.06</v>
      </c>
      <c r="I407" s="126">
        <f t="shared" si="60"/>
        <v>930.18</v>
      </c>
      <c r="J407" s="70"/>
      <c r="K407" s="189">
        <f t="shared" si="57"/>
        <v>1.922815608302422E-4</v>
      </c>
    </row>
    <row r="408" spans="1:11" ht="55.5" hidden="1" customHeight="1" x14ac:dyDescent="0.2">
      <c r="A408" s="63" t="s">
        <v>1260</v>
      </c>
      <c r="B408" s="124" t="s">
        <v>1261</v>
      </c>
      <c r="C408" s="64" t="s">
        <v>1262</v>
      </c>
      <c r="D408" s="125" t="s">
        <v>4</v>
      </c>
      <c r="E408" s="65">
        <v>225.75</v>
      </c>
      <c r="F408" s="65">
        <v>198.59</v>
      </c>
      <c r="G408" s="65">
        <f t="shared" si="58"/>
        <v>44831.69</v>
      </c>
      <c r="H408" s="126">
        <f t="shared" si="59"/>
        <v>248.29</v>
      </c>
      <c r="I408" s="126">
        <f t="shared" si="60"/>
        <v>56053.06</v>
      </c>
      <c r="J408" s="70"/>
      <c r="K408" s="189">
        <f t="shared" si="57"/>
        <v>1.1586972270002813E-2</v>
      </c>
    </row>
    <row r="409" spans="1:11" ht="29.25" hidden="1" customHeight="1" x14ac:dyDescent="0.2">
      <c r="A409" s="63" t="s">
        <v>1067</v>
      </c>
      <c r="B409" s="124" t="s">
        <v>1022</v>
      </c>
      <c r="C409" s="64" t="s">
        <v>723</v>
      </c>
      <c r="D409" s="125" t="s">
        <v>4</v>
      </c>
      <c r="E409" s="65">
        <f>282.15+139.9+78</f>
        <v>500.04999999999995</v>
      </c>
      <c r="F409" s="65">
        <v>80.61</v>
      </c>
      <c r="G409" s="65">
        <f t="shared" si="58"/>
        <v>40309.03</v>
      </c>
      <c r="H409" s="126">
        <f t="shared" si="59"/>
        <v>100.78</v>
      </c>
      <c r="I409" s="126">
        <f t="shared" si="60"/>
        <v>50398.38</v>
      </c>
      <c r="J409" s="70">
        <f>TRUNC(F409 * E409, 2)</f>
        <v>40309.03</v>
      </c>
      <c r="K409" s="189">
        <f t="shared" si="57"/>
        <v>1.0418068728327488E-2</v>
      </c>
    </row>
    <row r="410" spans="1:11" x14ac:dyDescent="0.2">
      <c r="A410" s="127" t="s">
        <v>724</v>
      </c>
      <c r="B410" s="128"/>
      <c r="C410" s="66" t="s">
        <v>725</v>
      </c>
      <c r="D410" s="66"/>
      <c r="E410" s="141"/>
      <c r="F410" s="143">
        <f>F411+F414+F421</f>
        <v>2808.16</v>
      </c>
      <c r="G410" s="143">
        <f>G411+G414+G421</f>
        <v>138107.16</v>
      </c>
      <c r="H410" s="129">
        <f>H411+H414+H421</f>
        <v>3510.9800000000005</v>
      </c>
      <c r="I410" s="129">
        <f>I411+I414+I421</f>
        <v>172675.31</v>
      </c>
      <c r="J410" s="75">
        <f>J411+J414+J421</f>
        <v>138107.16</v>
      </c>
      <c r="K410" s="189">
        <f t="shared" si="57"/>
        <v>3.569446572023257E-2</v>
      </c>
    </row>
    <row r="411" spans="1:11" x14ac:dyDescent="0.2">
      <c r="A411" s="127" t="s">
        <v>726</v>
      </c>
      <c r="B411" s="128"/>
      <c r="C411" s="66" t="s">
        <v>727</v>
      </c>
      <c r="D411" s="66"/>
      <c r="E411" s="141"/>
      <c r="F411" s="143">
        <f>F412+F413</f>
        <v>457.1</v>
      </c>
      <c r="G411" s="143">
        <f>G412+G413</f>
        <v>23286.5</v>
      </c>
      <c r="H411" s="129">
        <f>H412+H413</f>
        <v>571.5</v>
      </c>
      <c r="I411" s="129">
        <f>SUM(I412:I413)</f>
        <v>29115.1</v>
      </c>
      <c r="J411" s="75">
        <f>SUM(J412:J413)</f>
        <v>23286.5</v>
      </c>
      <c r="K411" s="189">
        <f t="shared" si="57"/>
        <v>6.0185091828770616E-3</v>
      </c>
    </row>
    <row r="412" spans="1:11" hidden="1" x14ac:dyDescent="0.2">
      <c r="A412" s="63" t="s">
        <v>758</v>
      </c>
      <c r="B412" s="124" t="s">
        <v>728</v>
      </c>
      <c r="C412" s="64" t="s">
        <v>729</v>
      </c>
      <c r="D412" s="125" t="s">
        <v>168</v>
      </c>
      <c r="E412" s="65">
        <v>1</v>
      </c>
      <c r="F412" s="65">
        <v>226.5</v>
      </c>
      <c r="G412" s="65">
        <f t="shared" ref="G412:G426" si="61">TRUNC(E412*F412,2)</f>
        <v>226.5</v>
      </c>
      <c r="H412" s="126">
        <f t="shared" si="59"/>
        <v>283.19</v>
      </c>
      <c r="I412" s="126">
        <f t="shared" ref="I412:I426" si="62">TRUNC(G412*(1+I$8),2)</f>
        <v>283.19</v>
      </c>
      <c r="J412" s="70">
        <f>TRUNC(F412 * E412, 2)</f>
        <v>226.5</v>
      </c>
      <c r="K412" s="189">
        <f t="shared" si="57"/>
        <v>5.853943883067395E-5</v>
      </c>
    </row>
    <row r="413" spans="1:11" hidden="1" x14ac:dyDescent="0.2">
      <c r="A413" s="63" t="s">
        <v>759</v>
      </c>
      <c r="B413" s="124" t="s">
        <v>730</v>
      </c>
      <c r="C413" s="64" t="s">
        <v>1263</v>
      </c>
      <c r="D413" s="125" t="s">
        <v>168</v>
      </c>
      <c r="E413" s="65">
        <v>100</v>
      </c>
      <c r="F413" s="65">
        <v>230.6</v>
      </c>
      <c r="G413" s="65">
        <f t="shared" si="61"/>
        <v>23060</v>
      </c>
      <c r="H413" s="126">
        <f t="shared" si="59"/>
        <v>288.31</v>
      </c>
      <c r="I413" s="126">
        <f t="shared" si="62"/>
        <v>28831.91</v>
      </c>
      <c r="J413" s="70">
        <f>TRUNC(F413 * E413, 2)</f>
        <v>23060</v>
      </c>
      <c r="K413" s="189">
        <f t="shared" si="57"/>
        <v>5.9599697440463877E-3</v>
      </c>
    </row>
    <row r="414" spans="1:11" x14ac:dyDescent="0.2">
      <c r="A414" s="127" t="s">
        <v>731</v>
      </c>
      <c r="B414" s="128"/>
      <c r="C414" s="66" t="s">
        <v>732</v>
      </c>
      <c r="D414" s="66"/>
      <c r="E414" s="141"/>
      <c r="F414" s="143">
        <f>F415+F416+F417+F418+F419+F420</f>
        <v>2111.88</v>
      </c>
      <c r="G414" s="143">
        <f>G415+G416+G417+G418+G419+G420</f>
        <v>66245.540000000008</v>
      </c>
      <c r="H414" s="129">
        <f>H415+H416+H417+H418+H419+H420</f>
        <v>2640.4500000000003</v>
      </c>
      <c r="I414" s="129">
        <f>SUM(I415:I420)</f>
        <v>82826.760000000009</v>
      </c>
      <c r="J414" s="75">
        <f>SUM(J415:J420)</f>
        <v>66245.540000000008</v>
      </c>
      <c r="K414" s="189">
        <f t="shared" si="57"/>
        <v>1.7121480456806074E-2</v>
      </c>
    </row>
    <row r="415" spans="1:11" ht="25.5" hidden="1" x14ac:dyDescent="0.2">
      <c r="A415" s="63" t="s">
        <v>748</v>
      </c>
      <c r="B415" s="124" t="s">
        <v>753</v>
      </c>
      <c r="C415" s="64" t="s">
        <v>733</v>
      </c>
      <c r="D415" s="125" t="s">
        <v>267</v>
      </c>
      <c r="E415" s="65">
        <f>85+42+24</f>
        <v>151</v>
      </c>
      <c r="F415" s="65">
        <v>20.5</v>
      </c>
      <c r="G415" s="65">
        <f t="shared" si="61"/>
        <v>3095.5</v>
      </c>
      <c r="H415" s="126">
        <f t="shared" si="59"/>
        <v>25.63</v>
      </c>
      <c r="I415" s="126">
        <f t="shared" si="62"/>
        <v>3870.3</v>
      </c>
      <c r="J415" s="70">
        <f t="shared" ref="J415:J420" si="63">TRUNC(F415 * E415, 2)</f>
        <v>3095.5</v>
      </c>
      <c r="K415" s="189">
        <f t="shared" si="57"/>
        <v>8.0004657687897667E-4</v>
      </c>
    </row>
    <row r="416" spans="1:11" ht="28.5" hidden="1" customHeight="1" x14ac:dyDescent="0.2">
      <c r="A416" s="63" t="s">
        <v>749</v>
      </c>
      <c r="B416" s="124" t="s">
        <v>754</v>
      </c>
      <c r="C416" s="64" t="s">
        <v>734</v>
      </c>
      <c r="D416" s="125" t="s">
        <v>4</v>
      </c>
      <c r="E416" s="65">
        <f>70+33+19</f>
        <v>122</v>
      </c>
      <c r="F416" s="65">
        <v>15.37</v>
      </c>
      <c r="G416" s="65">
        <f t="shared" si="61"/>
        <v>1875.14</v>
      </c>
      <c r="H416" s="126">
        <f t="shared" si="59"/>
        <v>19.21</v>
      </c>
      <c r="I416" s="126">
        <f t="shared" si="62"/>
        <v>2344.48</v>
      </c>
      <c r="J416" s="70">
        <f t="shared" si="63"/>
        <v>1875.14</v>
      </c>
      <c r="K416" s="189">
        <f t="shared" si="57"/>
        <v>4.8463767629414336E-4</v>
      </c>
    </row>
    <row r="417" spans="1:18" hidden="1" x14ac:dyDescent="0.2">
      <c r="A417" s="63" t="s">
        <v>750</v>
      </c>
      <c r="B417" s="124" t="s">
        <v>755</v>
      </c>
      <c r="C417" s="64" t="s">
        <v>735</v>
      </c>
      <c r="D417" s="125" t="s">
        <v>267</v>
      </c>
      <c r="E417" s="65">
        <f>68+28+16</f>
        <v>112</v>
      </c>
      <c r="F417" s="65">
        <v>33.25</v>
      </c>
      <c r="G417" s="65">
        <f t="shared" si="61"/>
        <v>3724</v>
      </c>
      <c r="H417" s="126">
        <f t="shared" si="59"/>
        <v>41.57</v>
      </c>
      <c r="I417" s="126">
        <f t="shared" si="62"/>
        <v>4656.1099999999997</v>
      </c>
      <c r="J417" s="70">
        <f t="shared" si="63"/>
        <v>3724</v>
      </c>
      <c r="K417" s="189">
        <f t="shared" si="57"/>
        <v>9.6248478595250284E-4</v>
      </c>
    </row>
    <row r="418" spans="1:18" ht="18.75" hidden="1" customHeight="1" x14ac:dyDescent="0.2">
      <c r="A418" s="63" t="s">
        <v>751</v>
      </c>
      <c r="B418" s="124" t="s">
        <v>752</v>
      </c>
      <c r="C418" s="64" t="s">
        <v>736</v>
      </c>
      <c r="D418" s="125" t="s">
        <v>4</v>
      </c>
      <c r="E418" s="65">
        <f>564.3+279.8+176</f>
        <v>1020.0999999999999</v>
      </c>
      <c r="F418" s="65">
        <v>7.43</v>
      </c>
      <c r="G418" s="65">
        <f t="shared" si="61"/>
        <v>7579.34</v>
      </c>
      <c r="H418" s="126">
        <f t="shared" si="59"/>
        <v>9.2799999999999994</v>
      </c>
      <c r="I418" s="126">
        <f t="shared" si="62"/>
        <v>9476.44</v>
      </c>
      <c r="J418" s="70">
        <f t="shared" si="63"/>
        <v>7579.34</v>
      </c>
      <c r="K418" s="189">
        <f t="shared" si="57"/>
        <v>1.9589162036532078E-3</v>
      </c>
    </row>
    <row r="419" spans="1:18" ht="28.5" hidden="1" customHeight="1" x14ac:dyDescent="0.2">
      <c r="A419" s="63" t="s">
        <v>747</v>
      </c>
      <c r="B419" s="124" t="s">
        <v>756</v>
      </c>
      <c r="C419" s="64" t="s">
        <v>1264</v>
      </c>
      <c r="D419" s="125" t="s">
        <v>9</v>
      </c>
      <c r="E419" s="65">
        <f>28.2+14+8</f>
        <v>50.2</v>
      </c>
      <c r="F419" s="65">
        <v>315.33</v>
      </c>
      <c r="G419" s="65">
        <f t="shared" si="61"/>
        <v>15829.56</v>
      </c>
      <c r="H419" s="126">
        <f t="shared" si="59"/>
        <v>394.25</v>
      </c>
      <c r="I419" s="126">
        <f t="shared" si="62"/>
        <v>19791.689999999999</v>
      </c>
      <c r="J419" s="70">
        <f t="shared" si="63"/>
        <v>15829.56</v>
      </c>
      <c r="K419" s="189">
        <f t="shared" si="57"/>
        <v>4.0912264773143867E-3</v>
      </c>
    </row>
    <row r="420" spans="1:18" ht="25.5" hidden="1" x14ac:dyDescent="0.2">
      <c r="A420" s="63" t="s">
        <v>746</v>
      </c>
      <c r="B420" s="124" t="s">
        <v>757</v>
      </c>
      <c r="C420" s="64" t="s">
        <v>1265</v>
      </c>
      <c r="D420" s="125" t="s">
        <v>9</v>
      </c>
      <c r="E420" s="65">
        <f>12.65+4.2+3</f>
        <v>19.850000000000001</v>
      </c>
      <c r="F420" s="65">
        <v>1720</v>
      </c>
      <c r="G420" s="65">
        <f t="shared" si="61"/>
        <v>34142</v>
      </c>
      <c r="H420" s="126">
        <f t="shared" si="59"/>
        <v>2150.5100000000002</v>
      </c>
      <c r="I420" s="126">
        <f t="shared" si="62"/>
        <v>42687.74</v>
      </c>
      <c r="J420" s="70">
        <f t="shared" si="63"/>
        <v>34142</v>
      </c>
      <c r="K420" s="189">
        <f t="shared" si="57"/>
        <v>8.8241687367128559E-3</v>
      </c>
    </row>
    <row r="421" spans="1:18" x14ac:dyDescent="0.2">
      <c r="A421" s="127" t="s">
        <v>737</v>
      </c>
      <c r="B421" s="128"/>
      <c r="C421" s="66" t="s">
        <v>738</v>
      </c>
      <c r="D421" s="66"/>
      <c r="E421" s="141"/>
      <c r="F421" s="143">
        <f>F422+F423+F424</f>
        <v>239.18</v>
      </c>
      <c r="G421" s="143">
        <f>G422+G423+G424</f>
        <v>48575.119999999995</v>
      </c>
      <c r="H421" s="129">
        <f>H422+H423+H424</f>
        <v>299.02999999999997</v>
      </c>
      <c r="I421" s="129">
        <f>SUM(I422:I424)</f>
        <v>60733.45</v>
      </c>
      <c r="J421" s="75">
        <f>SUM(J422:J424)</f>
        <v>48575.119999999995</v>
      </c>
      <c r="K421" s="189">
        <f t="shared" si="57"/>
        <v>1.2554476080549435E-2</v>
      </c>
    </row>
    <row r="422" spans="1:18" hidden="1" x14ac:dyDescent="0.2">
      <c r="A422" s="63" t="s">
        <v>745</v>
      </c>
      <c r="B422" s="124" t="s">
        <v>739</v>
      </c>
      <c r="C422" s="64" t="s">
        <v>740</v>
      </c>
      <c r="D422" s="125" t="s">
        <v>4</v>
      </c>
      <c r="E422" s="65">
        <f>1692.9+1139.4+768</f>
        <v>3600.3</v>
      </c>
      <c r="F422" s="65">
        <v>7.02</v>
      </c>
      <c r="G422" s="65">
        <f t="shared" si="61"/>
        <v>25274.1</v>
      </c>
      <c r="H422" s="126">
        <f t="shared" si="59"/>
        <v>8.77</v>
      </c>
      <c r="I422" s="126">
        <f t="shared" si="62"/>
        <v>31600.2</v>
      </c>
      <c r="J422" s="70">
        <f>TRUNC(F422 * E422, 2)</f>
        <v>25274.1</v>
      </c>
      <c r="K422" s="189">
        <f t="shared" si="57"/>
        <v>6.5322150320882202E-3</v>
      </c>
    </row>
    <row r="423" spans="1:18" hidden="1" x14ac:dyDescent="0.2">
      <c r="A423" s="63" t="s">
        <v>744</v>
      </c>
      <c r="B423" s="124" t="s">
        <v>1023</v>
      </c>
      <c r="C423" s="64" t="s">
        <v>741</v>
      </c>
      <c r="D423" s="125" t="s">
        <v>4</v>
      </c>
      <c r="E423" s="65">
        <f>88.5+42+24</f>
        <v>154.5</v>
      </c>
      <c r="F423" s="65">
        <v>1.56</v>
      </c>
      <c r="G423" s="65">
        <f t="shared" si="61"/>
        <v>241.02</v>
      </c>
      <c r="H423" s="126">
        <f t="shared" si="59"/>
        <v>1.95</v>
      </c>
      <c r="I423" s="126">
        <f t="shared" si="62"/>
        <v>301.33999999999997</v>
      </c>
      <c r="J423" s="70">
        <f>TRUNC(F423 * E423, 2)</f>
        <v>241.02</v>
      </c>
      <c r="K423" s="189">
        <f t="shared" si="57"/>
        <v>6.2291304414828513E-5</v>
      </c>
      <c r="L423" s="1"/>
    </row>
    <row r="424" spans="1:18" ht="15" hidden="1" customHeight="1" x14ac:dyDescent="0.2">
      <c r="A424" s="63" t="s">
        <v>743</v>
      </c>
      <c r="B424" s="124" t="s">
        <v>742</v>
      </c>
      <c r="C424" s="64" t="s">
        <v>1266</v>
      </c>
      <c r="D424" s="125" t="s">
        <v>168</v>
      </c>
      <c r="E424" s="65">
        <v>100</v>
      </c>
      <c r="F424" s="65">
        <v>230.6</v>
      </c>
      <c r="G424" s="65">
        <f t="shared" si="61"/>
        <v>23060</v>
      </c>
      <c r="H424" s="126">
        <f t="shared" si="59"/>
        <v>288.31</v>
      </c>
      <c r="I424" s="126">
        <f t="shared" si="62"/>
        <v>28831.91</v>
      </c>
      <c r="J424" s="70">
        <f>TRUNC(F424 * E424, 2)</f>
        <v>23060</v>
      </c>
      <c r="K424" s="189">
        <f t="shared" si="57"/>
        <v>5.9599697440463877E-3</v>
      </c>
      <c r="L424" s="1"/>
    </row>
    <row r="425" spans="1:18" x14ac:dyDescent="0.2">
      <c r="A425" s="132" t="s">
        <v>772</v>
      </c>
      <c r="B425" s="133"/>
      <c r="C425" s="134" t="s">
        <v>774</v>
      </c>
      <c r="D425" s="135"/>
      <c r="E425" s="136"/>
      <c r="F425" s="143">
        <f>F426</f>
        <v>2048.8491584999997</v>
      </c>
      <c r="G425" s="143">
        <f>G426</f>
        <v>204884.91</v>
      </c>
      <c r="H425" s="129">
        <f>H426</f>
        <v>2561.67</v>
      </c>
      <c r="I425" s="129">
        <f>I426</f>
        <v>256167.6</v>
      </c>
      <c r="J425" s="76">
        <f>J426</f>
        <v>24586.18</v>
      </c>
      <c r="K425" s="189">
        <f>I425/$I$431</f>
        <v>5.29535207832217E-2</v>
      </c>
      <c r="L425" s="1"/>
    </row>
    <row r="426" spans="1:18" ht="17.25" hidden="1" customHeight="1" x14ac:dyDescent="0.2">
      <c r="A426" s="63" t="s">
        <v>773</v>
      </c>
      <c r="B426" s="124" t="s">
        <v>1024</v>
      </c>
      <c r="C426" s="64" t="s">
        <v>774</v>
      </c>
      <c r="D426" s="125" t="s">
        <v>168</v>
      </c>
      <c r="E426" s="65">
        <v>100</v>
      </c>
      <c r="F426" s="65">
        <f>[1]Adm.Local.Empresa!$K$68</f>
        <v>2048.8491584999997</v>
      </c>
      <c r="G426" s="65">
        <f t="shared" si="61"/>
        <v>204884.91</v>
      </c>
      <c r="H426" s="126">
        <f t="shared" si="59"/>
        <v>2561.67</v>
      </c>
      <c r="I426" s="126">
        <f t="shared" si="62"/>
        <v>256167.6</v>
      </c>
      <c r="J426" s="77">
        <f>TRUNC(F426 * 12, 2)</f>
        <v>24586.18</v>
      </c>
    </row>
    <row r="427" spans="1:18" ht="15" thickBot="1" x14ac:dyDescent="0.25">
      <c r="A427" s="137"/>
      <c r="B427" s="138"/>
      <c r="C427" s="139"/>
      <c r="D427" s="117"/>
      <c r="E427" s="118"/>
      <c r="F427" s="119"/>
      <c r="G427" s="119"/>
      <c r="H427" s="119"/>
      <c r="I427" s="120"/>
      <c r="R427" s="140"/>
    </row>
    <row r="428" spans="1:18" x14ac:dyDescent="0.2">
      <c r="A428" s="148"/>
      <c r="B428" s="149"/>
      <c r="C428" s="150"/>
      <c r="D428" s="352" t="s">
        <v>1122</v>
      </c>
      <c r="E428" s="352"/>
      <c r="F428" s="151"/>
      <c r="G428" s="152"/>
      <c r="H428" s="152"/>
      <c r="I428" s="158">
        <f>F12+F20+F46+F50+F88+F98+F107+F136+F151+F158+F179+F185+F190+F209+F218+F223+F227+F255+F276+F308+F356+F360+F376+F391+F398+F410+F425</f>
        <v>68152.239158499986</v>
      </c>
      <c r="R428" s="140"/>
    </row>
    <row r="429" spans="1:18" x14ac:dyDescent="0.2">
      <c r="A429" s="137"/>
      <c r="B429" s="138"/>
      <c r="C429" s="139"/>
      <c r="D429" s="355" t="s">
        <v>1123</v>
      </c>
      <c r="E429" s="355"/>
      <c r="G429" s="119"/>
      <c r="H429" s="119"/>
      <c r="I429" s="159">
        <f>G12+G20+G46+G50+G88+G98+G107+G136+G151+G158+G179+G185+G190+G209+G218+G223+G227+G255+G276+G308+G356+G360+G376+G391+G398+G410+G425</f>
        <v>3857038.0300000003</v>
      </c>
      <c r="R429" s="140"/>
    </row>
    <row r="430" spans="1:18" x14ac:dyDescent="0.2">
      <c r="A430" s="137"/>
      <c r="B430" s="138"/>
      <c r="C430" s="139"/>
      <c r="D430" s="356" t="s">
        <v>1124</v>
      </c>
      <c r="E430" s="356"/>
      <c r="G430" s="119"/>
      <c r="H430" s="119"/>
      <c r="I430" s="159">
        <f>H12+H20+H46+H50+H88+H98+H107+H136+H151+H158+H179+H185+H190+H209+H218+H223+H227+H255+H276+H308+H356+H360+H376+H391+H398+H410+H425</f>
        <v>85208.98</v>
      </c>
      <c r="R430" s="140"/>
    </row>
    <row r="431" spans="1:18" ht="18.75" customHeight="1" x14ac:dyDescent="0.2">
      <c r="A431" s="204"/>
      <c r="B431" s="205"/>
      <c r="C431" s="206"/>
      <c r="D431" s="357" t="s">
        <v>1267</v>
      </c>
      <c r="E431" s="357"/>
      <c r="F431" s="357"/>
      <c r="G431" s="166"/>
      <c r="H431" s="166"/>
      <c r="I431" s="167">
        <f>I12+I20+I46+I50+I88+I98+I107+I136+I151+I158+I179+I185+I190+I209+I218+I223+I227+I255+I276+I308+I356+I360+I376+I391+I398+I410+I425</f>
        <v>4837593.3499999987</v>
      </c>
      <c r="L431" s="140"/>
      <c r="R431" s="140"/>
    </row>
    <row r="432" spans="1:18" ht="15" thickBot="1" x14ac:dyDescent="0.25">
      <c r="A432" s="153"/>
      <c r="B432" s="154"/>
      <c r="C432" s="155"/>
      <c r="D432" s="351" t="s">
        <v>1126</v>
      </c>
      <c r="E432" s="351"/>
      <c r="F432" s="156"/>
      <c r="G432" s="157"/>
      <c r="H432" s="157"/>
      <c r="I432" s="160">
        <f>I431-I429</f>
        <v>980555.31999999844</v>
      </c>
      <c r="R432" s="140"/>
    </row>
    <row r="433" spans="1:18" x14ac:dyDescent="0.2">
      <c r="A433" s="139"/>
      <c r="B433" s="138"/>
      <c r="C433" s="139"/>
      <c r="D433" s="117"/>
      <c r="E433" s="118"/>
      <c r="F433" s="119"/>
      <c r="G433" s="119"/>
      <c r="H433" s="119"/>
      <c r="I433" s="119"/>
      <c r="R433" s="140"/>
    </row>
    <row r="434" spans="1:18" ht="15" x14ac:dyDescent="0.25">
      <c r="A434" s="361" t="s">
        <v>1268</v>
      </c>
      <c r="B434" s="361"/>
      <c r="C434" s="361"/>
      <c r="D434" s="361"/>
      <c r="E434" s="361"/>
      <c r="F434" s="361"/>
      <c r="G434" s="361"/>
      <c r="H434" s="361"/>
      <c r="I434" s="361"/>
      <c r="J434" s="69"/>
      <c r="K434" s="144"/>
      <c r="L434" s="114" t="e">
        <f>I425/#REF!</f>
        <v>#REF!</v>
      </c>
      <c r="M434" s="69"/>
    </row>
    <row r="435" spans="1:18" x14ac:dyDescent="0.2">
      <c r="A435"/>
      <c r="B435"/>
      <c r="E435" s="18"/>
      <c r="L435" s="115"/>
    </row>
    <row r="436" spans="1:18" x14ac:dyDescent="0.2">
      <c r="A436"/>
      <c r="B436"/>
      <c r="E436" s="18"/>
    </row>
    <row r="437" spans="1:18" x14ac:dyDescent="0.2">
      <c r="A437"/>
      <c r="B437"/>
      <c r="E437" s="18"/>
    </row>
    <row r="438" spans="1:18" x14ac:dyDescent="0.2">
      <c r="A438" s="67"/>
      <c r="B438" s="67"/>
      <c r="C438" s="67"/>
      <c r="E438" s="363"/>
      <c r="F438" s="363"/>
      <c r="G438" s="363"/>
      <c r="H438" s="363"/>
      <c r="I438" s="363"/>
      <c r="J438" s="363"/>
      <c r="K438" s="363"/>
      <c r="L438" s="363"/>
      <c r="M438" s="363"/>
    </row>
    <row r="439" spans="1:18" ht="15" x14ac:dyDescent="0.25">
      <c r="A439" s="358"/>
      <c r="B439" s="359"/>
      <c r="C439" s="359"/>
      <c r="E439" s="360"/>
      <c r="F439" s="360"/>
      <c r="G439" s="360"/>
      <c r="H439" s="360"/>
      <c r="I439" s="360"/>
      <c r="J439" s="360"/>
      <c r="K439" s="360"/>
      <c r="L439" s="360"/>
      <c r="M439" s="360"/>
      <c r="N439" s="116"/>
    </row>
    <row r="440" spans="1:18" x14ac:dyDescent="0.2">
      <c r="A440" s="18"/>
      <c r="B440" s="18"/>
      <c r="C440" s="18"/>
      <c r="E440" s="18"/>
      <c r="I440" s="161">
        <f>I425/I431</f>
        <v>5.29535207832217E-2</v>
      </c>
      <c r="J440" s="18"/>
      <c r="K440" s="18"/>
      <c r="L440" s="18"/>
      <c r="M440" s="18"/>
    </row>
    <row r="441" spans="1:18" x14ac:dyDescent="0.2">
      <c r="A441" s="18"/>
      <c r="B441" s="18"/>
      <c r="C441" s="18"/>
      <c r="E441" s="18"/>
      <c r="J441" s="18"/>
      <c r="K441" s="18"/>
      <c r="L441" s="18"/>
      <c r="M441" s="18"/>
    </row>
    <row r="442" spans="1:18" x14ac:dyDescent="0.2">
      <c r="A442" s="18"/>
      <c r="B442" s="18"/>
      <c r="C442" s="18"/>
      <c r="E442" s="18"/>
      <c r="I442" s="121"/>
      <c r="J442" s="18"/>
      <c r="K442" s="18"/>
      <c r="L442" s="18"/>
      <c r="M442" s="18"/>
    </row>
    <row r="443" spans="1:18" x14ac:dyDescent="0.2">
      <c r="A443" s="362"/>
      <c r="B443" s="362"/>
      <c r="C443" s="362"/>
      <c r="E443" s="363"/>
      <c r="F443" s="363"/>
      <c r="G443" s="363"/>
      <c r="H443" s="363"/>
      <c r="I443" s="363"/>
      <c r="J443" s="363"/>
      <c r="K443" s="363"/>
      <c r="L443" s="363"/>
      <c r="M443" s="363"/>
    </row>
    <row r="444" spans="1:18" x14ac:dyDescent="0.2">
      <c r="A444" s="358"/>
      <c r="B444" s="359"/>
      <c r="C444" s="359"/>
      <c r="E444" s="360"/>
      <c r="F444" s="360"/>
      <c r="G444" s="360"/>
      <c r="H444" s="360"/>
      <c r="I444" s="360"/>
      <c r="J444" s="360"/>
      <c r="K444" s="360"/>
      <c r="L444" s="360"/>
      <c r="M444" s="360"/>
    </row>
    <row r="445" spans="1:18" x14ac:dyDescent="0.2">
      <c r="A445"/>
      <c r="B445"/>
      <c r="E445" s="18"/>
    </row>
    <row r="446" spans="1:18" x14ac:dyDescent="0.2">
      <c r="A446"/>
      <c r="B446"/>
      <c r="E446" s="18"/>
    </row>
    <row r="447" spans="1:18" x14ac:dyDescent="0.2">
      <c r="A447"/>
      <c r="B447"/>
      <c r="E447" s="18"/>
    </row>
    <row r="448" spans="1:18" x14ac:dyDescent="0.2">
      <c r="A448" s="362"/>
      <c r="B448" s="362"/>
      <c r="C448" s="362"/>
      <c r="D448" s="67"/>
      <c r="E448" s="363"/>
      <c r="F448" s="363"/>
      <c r="G448" s="363"/>
      <c r="H448" s="363"/>
      <c r="I448" s="363"/>
      <c r="J448" s="363"/>
      <c r="K448" s="363"/>
      <c r="L448" s="363"/>
      <c r="M448" s="363"/>
    </row>
    <row r="449" spans="1:13" x14ac:dyDescent="0.2">
      <c r="A449" s="358"/>
      <c r="B449" s="359"/>
      <c r="C449" s="359"/>
      <c r="D449" s="68"/>
      <c r="E449" s="360"/>
      <c r="F449" s="360"/>
      <c r="G449" s="360"/>
      <c r="H449" s="360"/>
      <c r="I449" s="360"/>
      <c r="J449" s="360"/>
      <c r="K449" s="360"/>
      <c r="L449" s="360"/>
      <c r="M449" s="360"/>
    </row>
  </sheetData>
  <mergeCells count="28">
    <mergeCell ref="A6:I6"/>
    <mergeCell ref="C1:I1"/>
    <mergeCell ref="C2:I2"/>
    <mergeCell ref="A3:I3"/>
    <mergeCell ref="A4:I4"/>
    <mergeCell ref="A5:I5"/>
    <mergeCell ref="E438:M438"/>
    <mergeCell ref="A7:I7"/>
    <mergeCell ref="A8:F10"/>
    <mergeCell ref="G8:H8"/>
    <mergeCell ref="G9:H9"/>
    <mergeCell ref="G10:I10"/>
    <mergeCell ref="D428:E428"/>
    <mergeCell ref="D429:E429"/>
    <mergeCell ref="D430:E430"/>
    <mergeCell ref="D431:F431"/>
    <mergeCell ref="D432:E432"/>
    <mergeCell ref="A434:I434"/>
    <mergeCell ref="A448:C448"/>
    <mergeCell ref="E448:M448"/>
    <mergeCell ref="A449:C449"/>
    <mergeCell ref="E449:M449"/>
    <mergeCell ref="A439:C439"/>
    <mergeCell ref="E439:M439"/>
    <mergeCell ref="A443:C443"/>
    <mergeCell ref="E443:M443"/>
    <mergeCell ref="A444:C444"/>
    <mergeCell ref="E444:M444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3"/>
  <sheetViews>
    <sheetView view="pageBreakPreview" zoomScale="110" zoomScaleNormal="100" zoomScaleSheetLayoutView="110" workbookViewId="0">
      <selection activeCell="K68" sqref="K68"/>
    </sheetView>
  </sheetViews>
  <sheetFormatPr defaultRowHeight="15" x14ac:dyDescent="0.25"/>
  <cols>
    <col min="1" max="1" width="6" style="219" customWidth="1"/>
    <col min="2" max="2" width="29.375" style="219" customWidth="1"/>
    <col min="3" max="4" width="5.875" style="219" customWidth="1"/>
    <col min="5" max="5" width="7.625" style="219" customWidth="1"/>
    <col min="6" max="6" width="9.25" style="219" customWidth="1"/>
    <col min="7" max="7" width="8.5" style="219" customWidth="1"/>
    <col min="8" max="8" width="10" style="219" bestFit="1" customWidth="1"/>
    <col min="9" max="9" width="10.625" style="219" customWidth="1"/>
    <col min="10" max="10" width="1.125" style="219" customWidth="1"/>
    <col min="11" max="11" width="7.125" style="219" bestFit="1" customWidth="1"/>
    <col min="12" max="12" width="9.25" style="219" bestFit="1" customWidth="1"/>
    <col min="13" max="13" width="9" style="219"/>
    <col min="14" max="14" width="9.125" style="219" bestFit="1" customWidth="1"/>
    <col min="15" max="255" width="9" style="219"/>
    <col min="256" max="256" width="34.625" style="219" customWidth="1"/>
    <col min="257" max="257" width="4.125" style="219" customWidth="1"/>
    <col min="258" max="258" width="8.5" style="219" customWidth="1"/>
    <col min="259" max="259" width="4.125" style="219" customWidth="1"/>
    <col min="260" max="260" width="8.5" style="219" customWidth="1"/>
    <col min="261" max="261" width="4.125" style="219" customWidth="1"/>
    <col min="262" max="262" width="8.5" style="219" customWidth="1"/>
    <col min="263" max="263" width="5" style="219" customWidth="1"/>
    <col min="264" max="264" width="9.375" style="219" customWidth="1"/>
    <col min="265" max="511" width="9" style="219"/>
    <col min="512" max="512" width="34.625" style="219" customWidth="1"/>
    <col min="513" max="513" width="4.125" style="219" customWidth="1"/>
    <col min="514" max="514" width="8.5" style="219" customWidth="1"/>
    <col min="515" max="515" width="4.125" style="219" customWidth="1"/>
    <col min="516" max="516" width="8.5" style="219" customWidth="1"/>
    <col min="517" max="517" width="4.125" style="219" customWidth="1"/>
    <col min="518" max="518" width="8.5" style="219" customWidth="1"/>
    <col min="519" max="519" width="5" style="219" customWidth="1"/>
    <col min="520" max="520" width="9.375" style="219" customWidth="1"/>
    <col min="521" max="767" width="9" style="219"/>
    <col min="768" max="768" width="34.625" style="219" customWidth="1"/>
    <col min="769" max="769" width="4.125" style="219" customWidth="1"/>
    <col min="770" max="770" width="8.5" style="219" customWidth="1"/>
    <col min="771" max="771" width="4.125" style="219" customWidth="1"/>
    <col min="772" max="772" width="8.5" style="219" customWidth="1"/>
    <col min="773" max="773" width="4.125" style="219" customWidth="1"/>
    <col min="774" max="774" width="8.5" style="219" customWidth="1"/>
    <col min="775" max="775" width="5" style="219" customWidth="1"/>
    <col min="776" max="776" width="9.375" style="219" customWidth="1"/>
    <col min="777" max="1023" width="9" style="219"/>
    <col min="1024" max="1024" width="34.625" style="219" customWidth="1"/>
    <col min="1025" max="1025" width="4.125" style="219" customWidth="1"/>
    <col min="1026" max="1026" width="8.5" style="219" customWidth="1"/>
    <col min="1027" max="1027" width="4.125" style="219" customWidth="1"/>
    <col min="1028" max="1028" width="8.5" style="219" customWidth="1"/>
    <col min="1029" max="1029" width="4.125" style="219" customWidth="1"/>
    <col min="1030" max="1030" width="8.5" style="219" customWidth="1"/>
    <col min="1031" max="1031" width="5" style="219" customWidth="1"/>
    <col min="1032" max="1032" width="9.375" style="219" customWidth="1"/>
    <col min="1033" max="1279" width="9" style="219"/>
    <col min="1280" max="1280" width="34.625" style="219" customWidth="1"/>
    <col min="1281" max="1281" width="4.125" style="219" customWidth="1"/>
    <col min="1282" max="1282" width="8.5" style="219" customWidth="1"/>
    <col min="1283" max="1283" width="4.125" style="219" customWidth="1"/>
    <col min="1284" max="1284" width="8.5" style="219" customWidth="1"/>
    <col min="1285" max="1285" width="4.125" style="219" customWidth="1"/>
    <col min="1286" max="1286" width="8.5" style="219" customWidth="1"/>
    <col min="1287" max="1287" width="5" style="219" customWidth="1"/>
    <col min="1288" max="1288" width="9.375" style="219" customWidth="1"/>
    <col min="1289" max="1535" width="9" style="219"/>
    <col min="1536" max="1536" width="34.625" style="219" customWidth="1"/>
    <col min="1537" max="1537" width="4.125" style="219" customWidth="1"/>
    <col min="1538" max="1538" width="8.5" style="219" customWidth="1"/>
    <col min="1539" max="1539" width="4.125" style="219" customWidth="1"/>
    <col min="1540" max="1540" width="8.5" style="219" customWidth="1"/>
    <col min="1541" max="1541" width="4.125" style="219" customWidth="1"/>
    <col min="1542" max="1542" width="8.5" style="219" customWidth="1"/>
    <col min="1543" max="1543" width="5" style="219" customWidth="1"/>
    <col min="1544" max="1544" width="9.375" style="219" customWidth="1"/>
    <col min="1545" max="1791" width="9" style="219"/>
    <col min="1792" max="1792" width="34.625" style="219" customWidth="1"/>
    <col min="1793" max="1793" width="4.125" style="219" customWidth="1"/>
    <col min="1794" max="1794" width="8.5" style="219" customWidth="1"/>
    <col min="1795" max="1795" width="4.125" style="219" customWidth="1"/>
    <col min="1796" max="1796" width="8.5" style="219" customWidth="1"/>
    <col min="1797" max="1797" width="4.125" style="219" customWidth="1"/>
    <col min="1798" max="1798" width="8.5" style="219" customWidth="1"/>
    <col min="1799" max="1799" width="5" style="219" customWidth="1"/>
    <col min="1800" max="1800" width="9.375" style="219" customWidth="1"/>
    <col min="1801" max="2047" width="9" style="219"/>
    <col min="2048" max="2048" width="34.625" style="219" customWidth="1"/>
    <col min="2049" max="2049" width="4.125" style="219" customWidth="1"/>
    <col min="2050" max="2050" width="8.5" style="219" customWidth="1"/>
    <col min="2051" max="2051" width="4.125" style="219" customWidth="1"/>
    <col min="2052" max="2052" width="8.5" style="219" customWidth="1"/>
    <col min="2053" max="2053" width="4.125" style="219" customWidth="1"/>
    <col min="2054" max="2054" width="8.5" style="219" customWidth="1"/>
    <col min="2055" max="2055" width="5" style="219" customWidth="1"/>
    <col min="2056" max="2056" width="9.375" style="219" customWidth="1"/>
    <col min="2057" max="2303" width="9" style="219"/>
    <col min="2304" max="2304" width="34.625" style="219" customWidth="1"/>
    <col min="2305" max="2305" width="4.125" style="219" customWidth="1"/>
    <col min="2306" max="2306" width="8.5" style="219" customWidth="1"/>
    <col min="2307" max="2307" width="4.125" style="219" customWidth="1"/>
    <col min="2308" max="2308" width="8.5" style="219" customWidth="1"/>
    <col min="2309" max="2309" width="4.125" style="219" customWidth="1"/>
    <col min="2310" max="2310" width="8.5" style="219" customWidth="1"/>
    <col min="2311" max="2311" width="5" style="219" customWidth="1"/>
    <col min="2312" max="2312" width="9.375" style="219" customWidth="1"/>
    <col min="2313" max="2559" width="9" style="219"/>
    <col min="2560" max="2560" width="34.625" style="219" customWidth="1"/>
    <col min="2561" max="2561" width="4.125" style="219" customWidth="1"/>
    <col min="2562" max="2562" width="8.5" style="219" customWidth="1"/>
    <col min="2563" max="2563" width="4.125" style="219" customWidth="1"/>
    <col min="2564" max="2564" width="8.5" style="219" customWidth="1"/>
    <col min="2565" max="2565" width="4.125" style="219" customWidth="1"/>
    <col min="2566" max="2566" width="8.5" style="219" customWidth="1"/>
    <col min="2567" max="2567" width="5" style="219" customWidth="1"/>
    <col min="2568" max="2568" width="9.375" style="219" customWidth="1"/>
    <col min="2569" max="2815" width="9" style="219"/>
    <col min="2816" max="2816" width="34.625" style="219" customWidth="1"/>
    <col min="2817" max="2817" width="4.125" style="219" customWidth="1"/>
    <col min="2818" max="2818" width="8.5" style="219" customWidth="1"/>
    <col min="2819" max="2819" width="4.125" style="219" customWidth="1"/>
    <col min="2820" max="2820" width="8.5" style="219" customWidth="1"/>
    <col min="2821" max="2821" width="4.125" style="219" customWidth="1"/>
    <col min="2822" max="2822" width="8.5" style="219" customWidth="1"/>
    <col min="2823" max="2823" width="5" style="219" customWidth="1"/>
    <col min="2824" max="2824" width="9.375" style="219" customWidth="1"/>
    <col min="2825" max="3071" width="9" style="219"/>
    <col min="3072" max="3072" width="34.625" style="219" customWidth="1"/>
    <col min="3073" max="3073" width="4.125" style="219" customWidth="1"/>
    <col min="3074" max="3074" width="8.5" style="219" customWidth="1"/>
    <col min="3075" max="3075" width="4.125" style="219" customWidth="1"/>
    <col min="3076" max="3076" width="8.5" style="219" customWidth="1"/>
    <col min="3077" max="3077" width="4.125" style="219" customWidth="1"/>
    <col min="3078" max="3078" width="8.5" style="219" customWidth="1"/>
    <col min="3079" max="3079" width="5" style="219" customWidth="1"/>
    <col min="3080" max="3080" width="9.375" style="219" customWidth="1"/>
    <col min="3081" max="3327" width="9" style="219"/>
    <col min="3328" max="3328" width="34.625" style="219" customWidth="1"/>
    <col min="3329" max="3329" width="4.125" style="219" customWidth="1"/>
    <col min="3330" max="3330" width="8.5" style="219" customWidth="1"/>
    <col min="3331" max="3331" width="4.125" style="219" customWidth="1"/>
    <col min="3332" max="3332" width="8.5" style="219" customWidth="1"/>
    <col min="3333" max="3333" width="4.125" style="219" customWidth="1"/>
    <col min="3334" max="3334" width="8.5" style="219" customWidth="1"/>
    <col min="3335" max="3335" width="5" style="219" customWidth="1"/>
    <col min="3336" max="3336" width="9.375" style="219" customWidth="1"/>
    <col min="3337" max="3583" width="9" style="219"/>
    <col min="3584" max="3584" width="34.625" style="219" customWidth="1"/>
    <col min="3585" max="3585" width="4.125" style="219" customWidth="1"/>
    <col min="3586" max="3586" width="8.5" style="219" customWidth="1"/>
    <col min="3587" max="3587" width="4.125" style="219" customWidth="1"/>
    <col min="3588" max="3588" width="8.5" style="219" customWidth="1"/>
    <col min="3589" max="3589" width="4.125" style="219" customWidth="1"/>
    <col min="3590" max="3590" width="8.5" style="219" customWidth="1"/>
    <col min="3591" max="3591" width="5" style="219" customWidth="1"/>
    <col min="3592" max="3592" width="9.375" style="219" customWidth="1"/>
    <col min="3593" max="3839" width="9" style="219"/>
    <col min="3840" max="3840" width="34.625" style="219" customWidth="1"/>
    <col min="3841" max="3841" width="4.125" style="219" customWidth="1"/>
    <col min="3842" max="3842" width="8.5" style="219" customWidth="1"/>
    <col min="3843" max="3843" width="4.125" style="219" customWidth="1"/>
    <col min="3844" max="3844" width="8.5" style="219" customWidth="1"/>
    <col min="3845" max="3845" width="4.125" style="219" customWidth="1"/>
    <col min="3846" max="3846" width="8.5" style="219" customWidth="1"/>
    <col min="3847" max="3847" width="5" style="219" customWidth="1"/>
    <col min="3848" max="3848" width="9.375" style="219" customWidth="1"/>
    <col min="3849" max="4095" width="9" style="219"/>
    <col min="4096" max="4096" width="34.625" style="219" customWidth="1"/>
    <col min="4097" max="4097" width="4.125" style="219" customWidth="1"/>
    <col min="4098" max="4098" width="8.5" style="219" customWidth="1"/>
    <col min="4099" max="4099" width="4.125" style="219" customWidth="1"/>
    <col min="4100" max="4100" width="8.5" style="219" customWidth="1"/>
    <col min="4101" max="4101" width="4.125" style="219" customWidth="1"/>
    <col min="4102" max="4102" width="8.5" style="219" customWidth="1"/>
    <col min="4103" max="4103" width="5" style="219" customWidth="1"/>
    <col min="4104" max="4104" width="9.375" style="219" customWidth="1"/>
    <col min="4105" max="4351" width="9" style="219"/>
    <col min="4352" max="4352" width="34.625" style="219" customWidth="1"/>
    <col min="4353" max="4353" width="4.125" style="219" customWidth="1"/>
    <col min="4354" max="4354" width="8.5" style="219" customWidth="1"/>
    <col min="4355" max="4355" width="4.125" style="219" customWidth="1"/>
    <col min="4356" max="4356" width="8.5" style="219" customWidth="1"/>
    <col min="4357" max="4357" width="4.125" style="219" customWidth="1"/>
    <col min="4358" max="4358" width="8.5" style="219" customWidth="1"/>
    <col min="4359" max="4359" width="5" style="219" customWidth="1"/>
    <col min="4360" max="4360" width="9.375" style="219" customWidth="1"/>
    <col min="4361" max="4607" width="9" style="219"/>
    <col min="4608" max="4608" width="34.625" style="219" customWidth="1"/>
    <col min="4609" max="4609" width="4.125" style="219" customWidth="1"/>
    <col min="4610" max="4610" width="8.5" style="219" customWidth="1"/>
    <col min="4611" max="4611" width="4.125" style="219" customWidth="1"/>
    <col min="4612" max="4612" width="8.5" style="219" customWidth="1"/>
    <col min="4613" max="4613" width="4.125" style="219" customWidth="1"/>
    <col min="4614" max="4614" width="8.5" style="219" customWidth="1"/>
    <col min="4615" max="4615" width="5" style="219" customWidth="1"/>
    <col min="4616" max="4616" width="9.375" style="219" customWidth="1"/>
    <col min="4617" max="4863" width="9" style="219"/>
    <col min="4864" max="4864" width="34.625" style="219" customWidth="1"/>
    <col min="4865" max="4865" width="4.125" style="219" customWidth="1"/>
    <col min="4866" max="4866" width="8.5" style="219" customWidth="1"/>
    <col min="4867" max="4867" width="4.125" style="219" customWidth="1"/>
    <col min="4868" max="4868" width="8.5" style="219" customWidth="1"/>
    <col min="4869" max="4869" width="4.125" style="219" customWidth="1"/>
    <col min="4870" max="4870" width="8.5" style="219" customWidth="1"/>
    <col min="4871" max="4871" width="5" style="219" customWidth="1"/>
    <col min="4872" max="4872" width="9.375" style="219" customWidth="1"/>
    <col min="4873" max="5119" width="9" style="219"/>
    <col min="5120" max="5120" width="34.625" style="219" customWidth="1"/>
    <col min="5121" max="5121" width="4.125" style="219" customWidth="1"/>
    <col min="5122" max="5122" width="8.5" style="219" customWidth="1"/>
    <col min="5123" max="5123" width="4.125" style="219" customWidth="1"/>
    <col min="5124" max="5124" width="8.5" style="219" customWidth="1"/>
    <col min="5125" max="5125" width="4.125" style="219" customWidth="1"/>
    <col min="5126" max="5126" width="8.5" style="219" customWidth="1"/>
    <col min="5127" max="5127" width="5" style="219" customWidth="1"/>
    <col min="5128" max="5128" width="9.375" style="219" customWidth="1"/>
    <col min="5129" max="5375" width="9" style="219"/>
    <col min="5376" max="5376" width="34.625" style="219" customWidth="1"/>
    <col min="5377" max="5377" width="4.125" style="219" customWidth="1"/>
    <col min="5378" max="5378" width="8.5" style="219" customWidth="1"/>
    <col min="5379" max="5379" width="4.125" style="219" customWidth="1"/>
    <col min="5380" max="5380" width="8.5" style="219" customWidth="1"/>
    <col min="5381" max="5381" width="4.125" style="219" customWidth="1"/>
    <col min="5382" max="5382" width="8.5" style="219" customWidth="1"/>
    <col min="5383" max="5383" width="5" style="219" customWidth="1"/>
    <col min="5384" max="5384" width="9.375" style="219" customWidth="1"/>
    <col min="5385" max="5631" width="9" style="219"/>
    <col min="5632" max="5632" width="34.625" style="219" customWidth="1"/>
    <col min="5633" max="5633" width="4.125" style="219" customWidth="1"/>
    <col min="5634" max="5634" width="8.5" style="219" customWidth="1"/>
    <col min="5635" max="5635" width="4.125" style="219" customWidth="1"/>
    <col min="5636" max="5636" width="8.5" style="219" customWidth="1"/>
    <col min="5637" max="5637" width="4.125" style="219" customWidth="1"/>
    <col min="5638" max="5638" width="8.5" style="219" customWidth="1"/>
    <col min="5639" max="5639" width="5" style="219" customWidth="1"/>
    <col min="5640" max="5640" width="9.375" style="219" customWidth="1"/>
    <col min="5641" max="5887" width="9" style="219"/>
    <col min="5888" max="5888" width="34.625" style="219" customWidth="1"/>
    <col min="5889" max="5889" width="4.125" style="219" customWidth="1"/>
    <col min="5890" max="5890" width="8.5" style="219" customWidth="1"/>
    <col min="5891" max="5891" width="4.125" style="219" customWidth="1"/>
    <col min="5892" max="5892" width="8.5" style="219" customWidth="1"/>
    <col min="5893" max="5893" width="4.125" style="219" customWidth="1"/>
    <col min="5894" max="5894" width="8.5" style="219" customWidth="1"/>
    <col min="5895" max="5895" width="5" style="219" customWidth="1"/>
    <col min="5896" max="5896" width="9.375" style="219" customWidth="1"/>
    <col min="5897" max="6143" width="9" style="219"/>
    <col min="6144" max="6144" width="34.625" style="219" customWidth="1"/>
    <col min="6145" max="6145" width="4.125" style="219" customWidth="1"/>
    <col min="6146" max="6146" width="8.5" style="219" customWidth="1"/>
    <col min="6147" max="6147" width="4.125" style="219" customWidth="1"/>
    <col min="6148" max="6148" width="8.5" style="219" customWidth="1"/>
    <col min="6149" max="6149" width="4.125" style="219" customWidth="1"/>
    <col min="6150" max="6150" width="8.5" style="219" customWidth="1"/>
    <col min="6151" max="6151" width="5" style="219" customWidth="1"/>
    <col min="6152" max="6152" width="9.375" style="219" customWidth="1"/>
    <col min="6153" max="6399" width="9" style="219"/>
    <col min="6400" max="6400" width="34.625" style="219" customWidth="1"/>
    <col min="6401" max="6401" width="4.125" style="219" customWidth="1"/>
    <col min="6402" max="6402" width="8.5" style="219" customWidth="1"/>
    <col min="6403" max="6403" width="4.125" style="219" customWidth="1"/>
    <col min="6404" max="6404" width="8.5" style="219" customWidth="1"/>
    <col min="6405" max="6405" width="4.125" style="219" customWidth="1"/>
    <col min="6406" max="6406" width="8.5" style="219" customWidth="1"/>
    <col min="6407" max="6407" width="5" style="219" customWidth="1"/>
    <col min="6408" max="6408" width="9.375" style="219" customWidth="1"/>
    <col min="6409" max="6655" width="9" style="219"/>
    <col min="6656" max="6656" width="34.625" style="219" customWidth="1"/>
    <col min="6657" max="6657" width="4.125" style="219" customWidth="1"/>
    <col min="6658" max="6658" width="8.5" style="219" customWidth="1"/>
    <col min="6659" max="6659" width="4.125" style="219" customWidth="1"/>
    <col min="6660" max="6660" width="8.5" style="219" customWidth="1"/>
    <col min="6661" max="6661" width="4.125" style="219" customWidth="1"/>
    <col min="6662" max="6662" width="8.5" style="219" customWidth="1"/>
    <col min="6663" max="6663" width="5" style="219" customWidth="1"/>
    <col min="6664" max="6664" width="9.375" style="219" customWidth="1"/>
    <col min="6665" max="6911" width="9" style="219"/>
    <col min="6912" max="6912" width="34.625" style="219" customWidth="1"/>
    <col min="6913" max="6913" width="4.125" style="219" customWidth="1"/>
    <col min="6914" max="6914" width="8.5" style="219" customWidth="1"/>
    <col min="6915" max="6915" width="4.125" style="219" customWidth="1"/>
    <col min="6916" max="6916" width="8.5" style="219" customWidth="1"/>
    <col min="6917" max="6917" width="4.125" style="219" customWidth="1"/>
    <col min="6918" max="6918" width="8.5" style="219" customWidth="1"/>
    <col min="6919" max="6919" width="5" style="219" customWidth="1"/>
    <col min="6920" max="6920" width="9.375" style="219" customWidth="1"/>
    <col min="6921" max="7167" width="9" style="219"/>
    <col min="7168" max="7168" width="34.625" style="219" customWidth="1"/>
    <col min="7169" max="7169" width="4.125" style="219" customWidth="1"/>
    <col min="7170" max="7170" width="8.5" style="219" customWidth="1"/>
    <col min="7171" max="7171" width="4.125" style="219" customWidth="1"/>
    <col min="7172" max="7172" width="8.5" style="219" customWidth="1"/>
    <col min="7173" max="7173" width="4.125" style="219" customWidth="1"/>
    <col min="7174" max="7174" width="8.5" style="219" customWidth="1"/>
    <col min="7175" max="7175" width="5" style="219" customWidth="1"/>
    <col min="7176" max="7176" width="9.375" style="219" customWidth="1"/>
    <col min="7177" max="7423" width="9" style="219"/>
    <col min="7424" max="7424" width="34.625" style="219" customWidth="1"/>
    <col min="7425" max="7425" width="4.125" style="219" customWidth="1"/>
    <col min="7426" max="7426" width="8.5" style="219" customWidth="1"/>
    <col min="7427" max="7427" width="4.125" style="219" customWidth="1"/>
    <col min="7428" max="7428" width="8.5" style="219" customWidth="1"/>
    <col min="7429" max="7429" width="4.125" style="219" customWidth="1"/>
    <col min="7430" max="7430" width="8.5" style="219" customWidth="1"/>
    <col min="7431" max="7431" width="5" style="219" customWidth="1"/>
    <col min="7432" max="7432" width="9.375" style="219" customWidth="1"/>
    <col min="7433" max="7679" width="9" style="219"/>
    <col min="7680" max="7680" width="34.625" style="219" customWidth="1"/>
    <col min="7681" max="7681" width="4.125" style="219" customWidth="1"/>
    <col min="7682" max="7682" width="8.5" style="219" customWidth="1"/>
    <col min="7683" max="7683" width="4.125" style="219" customWidth="1"/>
    <col min="7684" max="7684" width="8.5" style="219" customWidth="1"/>
    <col min="7685" max="7685" width="4.125" style="219" customWidth="1"/>
    <col min="7686" max="7686" width="8.5" style="219" customWidth="1"/>
    <col min="7687" max="7687" width="5" style="219" customWidth="1"/>
    <col min="7688" max="7688" width="9.375" style="219" customWidth="1"/>
    <col min="7689" max="7935" width="9" style="219"/>
    <col min="7936" max="7936" width="34.625" style="219" customWidth="1"/>
    <col min="7937" max="7937" width="4.125" style="219" customWidth="1"/>
    <col min="7938" max="7938" width="8.5" style="219" customWidth="1"/>
    <col min="7939" max="7939" width="4.125" style="219" customWidth="1"/>
    <col min="7940" max="7940" width="8.5" style="219" customWidth="1"/>
    <col min="7941" max="7941" width="4.125" style="219" customWidth="1"/>
    <col min="7942" max="7942" width="8.5" style="219" customWidth="1"/>
    <col min="7943" max="7943" width="5" style="219" customWidth="1"/>
    <col min="7944" max="7944" width="9.375" style="219" customWidth="1"/>
    <col min="7945" max="8191" width="9" style="219"/>
    <col min="8192" max="8192" width="34.625" style="219" customWidth="1"/>
    <col min="8193" max="8193" width="4.125" style="219" customWidth="1"/>
    <col min="8194" max="8194" width="8.5" style="219" customWidth="1"/>
    <col min="8195" max="8195" width="4.125" style="219" customWidth="1"/>
    <col min="8196" max="8196" width="8.5" style="219" customWidth="1"/>
    <col min="8197" max="8197" width="4.125" style="219" customWidth="1"/>
    <col min="8198" max="8198" width="8.5" style="219" customWidth="1"/>
    <col min="8199" max="8199" width="5" style="219" customWidth="1"/>
    <col min="8200" max="8200" width="9.375" style="219" customWidth="1"/>
    <col min="8201" max="8447" width="9" style="219"/>
    <col min="8448" max="8448" width="34.625" style="219" customWidth="1"/>
    <col min="8449" max="8449" width="4.125" style="219" customWidth="1"/>
    <col min="8450" max="8450" width="8.5" style="219" customWidth="1"/>
    <col min="8451" max="8451" width="4.125" style="219" customWidth="1"/>
    <col min="8452" max="8452" width="8.5" style="219" customWidth="1"/>
    <col min="8453" max="8453" width="4.125" style="219" customWidth="1"/>
    <col min="8454" max="8454" width="8.5" style="219" customWidth="1"/>
    <col min="8455" max="8455" width="5" style="219" customWidth="1"/>
    <col min="8456" max="8456" width="9.375" style="219" customWidth="1"/>
    <col min="8457" max="8703" width="9" style="219"/>
    <col min="8704" max="8704" width="34.625" style="219" customWidth="1"/>
    <col min="8705" max="8705" width="4.125" style="219" customWidth="1"/>
    <col min="8706" max="8706" width="8.5" style="219" customWidth="1"/>
    <col min="8707" max="8707" width="4.125" style="219" customWidth="1"/>
    <col min="8708" max="8708" width="8.5" style="219" customWidth="1"/>
    <col min="8709" max="8709" width="4.125" style="219" customWidth="1"/>
    <col min="8710" max="8710" width="8.5" style="219" customWidth="1"/>
    <col min="8711" max="8711" width="5" style="219" customWidth="1"/>
    <col min="8712" max="8712" width="9.375" style="219" customWidth="1"/>
    <col min="8713" max="8959" width="9" style="219"/>
    <col min="8960" max="8960" width="34.625" style="219" customWidth="1"/>
    <col min="8961" max="8961" width="4.125" style="219" customWidth="1"/>
    <col min="8962" max="8962" width="8.5" style="219" customWidth="1"/>
    <col min="8963" max="8963" width="4.125" style="219" customWidth="1"/>
    <col min="8964" max="8964" width="8.5" style="219" customWidth="1"/>
    <col min="8965" max="8965" width="4.125" style="219" customWidth="1"/>
    <col min="8966" max="8966" width="8.5" style="219" customWidth="1"/>
    <col min="8967" max="8967" width="5" style="219" customWidth="1"/>
    <col min="8968" max="8968" width="9.375" style="219" customWidth="1"/>
    <col min="8969" max="9215" width="9" style="219"/>
    <col min="9216" max="9216" width="34.625" style="219" customWidth="1"/>
    <col min="9217" max="9217" width="4.125" style="219" customWidth="1"/>
    <col min="9218" max="9218" width="8.5" style="219" customWidth="1"/>
    <col min="9219" max="9219" width="4.125" style="219" customWidth="1"/>
    <col min="9220" max="9220" width="8.5" style="219" customWidth="1"/>
    <col min="9221" max="9221" width="4.125" style="219" customWidth="1"/>
    <col min="9222" max="9222" width="8.5" style="219" customWidth="1"/>
    <col min="9223" max="9223" width="5" style="219" customWidth="1"/>
    <col min="9224" max="9224" width="9.375" style="219" customWidth="1"/>
    <col min="9225" max="9471" width="9" style="219"/>
    <col min="9472" max="9472" width="34.625" style="219" customWidth="1"/>
    <col min="9473" max="9473" width="4.125" style="219" customWidth="1"/>
    <col min="9474" max="9474" width="8.5" style="219" customWidth="1"/>
    <col min="9475" max="9475" width="4.125" style="219" customWidth="1"/>
    <col min="9476" max="9476" width="8.5" style="219" customWidth="1"/>
    <col min="9477" max="9477" width="4.125" style="219" customWidth="1"/>
    <col min="9478" max="9478" width="8.5" style="219" customWidth="1"/>
    <col min="9479" max="9479" width="5" style="219" customWidth="1"/>
    <col min="9480" max="9480" width="9.375" style="219" customWidth="1"/>
    <col min="9481" max="9727" width="9" style="219"/>
    <col min="9728" max="9728" width="34.625" style="219" customWidth="1"/>
    <col min="9729" max="9729" width="4.125" style="219" customWidth="1"/>
    <col min="9730" max="9730" width="8.5" style="219" customWidth="1"/>
    <col min="9731" max="9731" width="4.125" style="219" customWidth="1"/>
    <col min="9732" max="9732" width="8.5" style="219" customWidth="1"/>
    <col min="9733" max="9733" width="4.125" style="219" customWidth="1"/>
    <col min="9734" max="9734" width="8.5" style="219" customWidth="1"/>
    <col min="9735" max="9735" width="5" style="219" customWidth="1"/>
    <col min="9736" max="9736" width="9.375" style="219" customWidth="1"/>
    <col min="9737" max="9983" width="9" style="219"/>
    <col min="9984" max="9984" width="34.625" style="219" customWidth="1"/>
    <col min="9985" max="9985" width="4.125" style="219" customWidth="1"/>
    <col min="9986" max="9986" width="8.5" style="219" customWidth="1"/>
    <col min="9987" max="9987" width="4.125" style="219" customWidth="1"/>
    <col min="9988" max="9988" width="8.5" style="219" customWidth="1"/>
    <col min="9989" max="9989" width="4.125" style="219" customWidth="1"/>
    <col min="9990" max="9990" width="8.5" style="219" customWidth="1"/>
    <col min="9991" max="9991" width="5" style="219" customWidth="1"/>
    <col min="9992" max="9992" width="9.375" style="219" customWidth="1"/>
    <col min="9993" max="10239" width="9" style="219"/>
    <col min="10240" max="10240" width="34.625" style="219" customWidth="1"/>
    <col min="10241" max="10241" width="4.125" style="219" customWidth="1"/>
    <col min="10242" max="10242" width="8.5" style="219" customWidth="1"/>
    <col min="10243" max="10243" width="4.125" style="219" customWidth="1"/>
    <col min="10244" max="10244" width="8.5" style="219" customWidth="1"/>
    <col min="10245" max="10245" width="4.125" style="219" customWidth="1"/>
    <col min="10246" max="10246" width="8.5" style="219" customWidth="1"/>
    <col min="10247" max="10247" width="5" style="219" customWidth="1"/>
    <col min="10248" max="10248" width="9.375" style="219" customWidth="1"/>
    <col min="10249" max="10495" width="9" style="219"/>
    <col min="10496" max="10496" width="34.625" style="219" customWidth="1"/>
    <col min="10497" max="10497" width="4.125" style="219" customWidth="1"/>
    <col min="10498" max="10498" width="8.5" style="219" customWidth="1"/>
    <col min="10499" max="10499" width="4.125" style="219" customWidth="1"/>
    <col min="10500" max="10500" width="8.5" style="219" customWidth="1"/>
    <col min="10501" max="10501" width="4.125" style="219" customWidth="1"/>
    <col min="10502" max="10502" width="8.5" style="219" customWidth="1"/>
    <col min="10503" max="10503" width="5" style="219" customWidth="1"/>
    <col min="10504" max="10504" width="9.375" style="219" customWidth="1"/>
    <col min="10505" max="10751" width="9" style="219"/>
    <col min="10752" max="10752" width="34.625" style="219" customWidth="1"/>
    <col min="10753" max="10753" width="4.125" style="219" customWidth="1"/>
    <col min="10754" max="10754" width="8.5" style="219" customWidth="1"/>
    <col min="10755" max="10755" width="4.125" style="219" customWidth="1"/>
    <col min="10756" max="10756" width="8.5" style="219" customWidth="1"/>
    <col min="10757" max="10757" width="4.125" style="219" customWidth="1"/>
    <col min="10758" max="10758" width="8.5" style="219" customWidth="1"/>
    <col min="10759" max="10759" width="5" style="219" customWidth="1"/>
    <col min="10760" max="10760" width="9.375" style="219" customWidth="1"/>
    <col min="10761" max="11007" width="9" style="219"/>
    <col min="11008" max="11008" width="34.625" style="219" customWidth="1"/>
    <col min="11009" max="11009" width="4.125" style="219" customWidth="1"/>
    <col min="11010" max="11010" width="8.5" style="219" customWidth="1"/>
    <col min="11011" max="11011" width="4.125" style="219" customWidth="1"/>
    <col min="11012" max="11012" width="8.5" style="219" customWidth="1"/>
    <col min="11013" max="11013" width="4.125" style="219" customWidth="1"/>
    <col min="11014" max="11014" width="8.5" style="219" customWidth="1"/>
    <col min="11015" max="11015" width="5" style="219" customWidth="1"/>
    <col min="11016" max="11016" width="9.375" style="219" customWidth="1"/>
    <col min="11017" max="11263" width="9" style="219"/>
    <col min="11264" max="11264" width="34.625" style="219" customWidth="1"/>
    <col min="11265" max="11265" width="4.125" style="219" customWidth="1"/>
    <col min="11266" max="11266" width="8.5" style="219" customWidth="1"/>
    <col min="11267" max="11267" width="4.125" style="219" customWidth="1"/>
    <col min="11268" max="11268" width="8.5" style="219" customWidth="1"/>
    <col min="11269" max="11269" width="4.125" style="219" customWidth="1"/>
    <col min="11270" max="11270" width="8.5" style="219" customWidth="1"/>
    <col min="11271" max="11271" width="5" style="219" customWidth="1"/>
    <col min="11272" max="11272" width="9.375" style="219" customWidth="1"/>
    <col min="11273" max="11519" width="9" style="219"/>
    <col min="11520" max="11520" width="34.625" style="219" customWidth="1"/>
    <col min="11521" max="11521" width="4.125" style="219" customWidth="1"/>
    <col min="11522" max="11522" width="8.5" style="219" customWidth="1"/>
    <col min="11523" max="11523" width="4.125" style="219" customWidth="1"/>
    <col min="11524" max="11524" width="8.5" style="219" customWidth="1"/>
    <col min="11525" max="11525" width="4.125" style="219" customWidth="1"/>
    <col min="11526" max="11526" width="8.5" style="219" customWidth="1"/>
    <col min="11527" max="11527" width="5" style="219" customWidth="1"/>
    <col min="11528" max="11528" width="9.375" style="219" customWidth="1"/>
    <col min="11529" max="11775" width="9" style="219"/>
    <col min="11776" max="11776" width="34.625" style="219" customWidth="1"/>
    <col min="11777" max="11777" width="4.125" style="219" customWidth="1"/>
    <col min="11778" max="11778" width="8.5" style="219" customWidth="1"/>
    <col min="11779" max="11779" width="4.125" style="219" customWidth="1"/>
    <col min="11780" max="11780" width="8.5" style="219" customWidth="1"/>
    <col min="11781" max="11781" width="4.125" style="219" customWidth="1"/>
    <col min="11782" max="11782" width="8.5" style="219" customWidth="1"/>
    <col min="11783" max="11783" width="5" style="219" customWidth="1"/>
    <col min="11784" max="11784" width="9.375" style="219" customWidth="1"/>
    <col min="11785" max="12031" width="9" style="219"/>
    <col min="12032" max="12032" width="34.625" style="219" customWidth="1"/>
    <col min="12033" max="12033" width="4.125" style="219" customWidth="1"/>
    <col min="12034" max="12034" width="8.5" style="219" customWidth="1"/>
    <col min="12035" max="12035" width="4.125" style="219" customWidth="1"/>
    <col min="12036" max="12036" width="8.5" style="219" customWidth="1"/>
    <col min="12037" max="12037" width="4.125" style="219" customWidth="1"/>
    <col min="12038" max="12038" width="8.5" style="219" customWidth="1"/>
    <col min="12039" max="12039" width="5" style="219" customWidth="1"/>
    <col min="12040" max="12040" width="9.375" style="219" customWidth="1"/>
    <col min="12041" max="12287" width="9" style="219"/>
    <col min="12288" max="12288" width="34.625" style="219" customWidth="1"/>
    <col min="12289" max="12289" width="4.125" style="219" customWidth="1"/>
    <col min="12290" max="12290" width="8.5" style="219" customWidth="1"/>
    <col min="12291" max="12291" width="4.125" style="219" customWidth="1"/>
    <col min="12292" max="12292" width="8.5" style="219" customWidth="1"/>
    <col min="12293" max="12293" width="4.125" style="219" customWidth="1"/>
    <col min="12294" max="12294" width="8.5" style="219" customWidth="1"/>
    <col min="12295" max="12295" width="5" style="219" customWidth="1"/>
    <col min="12296" max="12296" width="9.375" style="219" customWidth="1"/>
    <col min="12297" max="12543" width="9" style="219"/>
    <col min="12544" max="12544" width="34.625" style="219" customWidth="1"/>
    <col min="12545" max="12545" width="4.125" style="219" customWidth="1"/>
    <col min="12546" max="12546" width="8.5" style="219" customWidth="1"/>
    <col min="12547" max="12547" width="4.125" style="219" customWidth="1"/>
    <col min="12548" max="12548" width="8.5" style="219" customWidth="1"/>
    <col min="12549" max="12549" width="4.125" style="219" customWidth="1"/>
    <col min="12550" max="12550" width="8.5" style="219" customWidth="1"/>
    <col min="12551" max="12551" width="5" style="219" customWidth="1"/>
    <col min="12552" max="12552" width="9.375" style="219" customWidth="1"/>
    <col min="12553" max="12799" width="9" style="219"/>
    <col min="12800" max="12800" width="34.625" style="219" customWidth="1"/>
    <col min="12801" max="12801" width="4.125" style="219" customWidth="1"/>
    <col min="12802" max="12802" width="8.5" style="219" customWidth="1"/>
    <col min="12803" max="12803" width="4.125" style="219" customWidth="1"/>
    <col min="12804" max="12804" width="8.5" style="219" customWidth="1"/>
    <col min="12805" max="12805" width="4.125" style="219" customWidth="1"/>
    <col min="12806" max="12806" width="8.5" style="219" customWidth="1"/>
    <col min="12807" max="12807" width="5" style="219" customWidth="1"/>
    <col min="12808" max="12808" width="9.375" style="219" customWidth="1"/>
    <col min="12809" max="13055" width="9" style="219"/>
    <col min="13056" max="13056" width="34.625" style="219" customWidth="1"/>
    <col min="13057" max="13057" width="4.125" style="219" customWidth="1"/>
    <col min="13058" max="13058" width="8.5" style="219" customWidth="1"/>
    <col min="13059" max="13059" width="4.125" style="219" customWidth="1"/>
    <col min="13060" max="13060" width="8.5" style="219" customWidth="1"/>
    <col min="13061" max="13061" width="4.125" style="219" customWidth="1"/>
    <col min="13062" max="13062" width="8.5" style="219" customWidth="1"/>
    <col min="13063" max="13063" width="5" style="219" customWidth="1"/>
    <col min="13064" max="13064" width="9.375" style="219" customWidth="1"/>
    <col min="13065" max="13311" width="9" style="219"/>
    <col min="13312" max="13312" width="34.625" style="219" customWidth="1"/>
    <col min="13313" max="13313" width="4.125" style="219" customWidth="1"/>
    <col min="13314" max="13314" width="8.5" style="219" customWidth="1"/>
    <col min="13315" max="13315" width="4.125" style="219" customWidth="1"/>
    <col min="13316" max="13316" width="8.5" style="219" customWidth="1"/>
    <col min="13317" max="13317" width="4.125" style="219" customWidth="1"/>
    <col min="13318" max="13318" width="8.5" style="219" customWidth="1"/>
    <col min="13319" max="13319" width="5" style="219" customWidth="1"/>
    <col min="13320" max="13320" width="9.375" style="219" customWidth="1"/>
    <col min="13321" max="13567" width="9" style="219"/>
    <col min="13568" max="13568" width="34.625" style="219" customWidth="1"/>
    <col min="13569" max="13569" width="4.125" style="219" customWidth="1"/>
    <col min="13570" max="13570" width="8.5" style="219" customWidth="1"/>
    <col min="13571" max="13571" width="4.125" style="219" customWidth="1"/>
    <col min="13572" max="13572" width="8.5" style="219" customWidth="1"/>
    <col min="13573" max="13573" width="4.125" style="219" customWidth="1"/>
    <col min="13574" max="13574" width="8.5" style="219" customWidth="1"/>
    <col min="13575" max="13575" width="5" style="219" customWidth="1"/>
    <col min="13576" max="13576" width="9.375" style="219" customWidth="1"/>
    <col min="13577" max="13823" width="9" style="219"/>
    <col min="13824" max="13824" width="34.625" style="219" customWidth="1"/>
    <col min="13825" max="13825" width="4.125" style="219" customWidth="1"/>
    <col min="13826" max="13826" width="8.5" style="219" customWidth="1"/>
    <col min="13827" max="13827" width="4.125" style="219" customWidth="1"/>
    <col min="13828" max="13828" width="8.5" style="219" customWidth="1"/>
    <col min="13829" max="13829" width="4.125" style="219" customWidth="1"/>
    <col min="13830" max="13830" width="8.5" style="219" customWidth="1"/>
    <col min="13831" max="13831" width="5" style="219" customWidth="1"/>
    <col min="13832" max="13832" width="9.375" style="219" customWidth="1"/>
    <col min="13833" max="14079" width="9" style="219"/>
    <col min="14080" max="14080" width="34.625" style="219" customWidth="1"/>
    <col min="14081" max="14081" width="4.125" style="219" customWidth="1"/>
    <col min="14082" max="14082" width="8.5" style="219" customWidth="1"/>
    <col min="14083" max="14083" width="4.125" style="219" customWidth="1"/>
    <col min="14084" max="14084" width="8.5" style="219" customWidth="1"/>
    <col min="14085" max="14085" width="4.125" style="219" customWidth="1"/>
    <col min="14086" max="14086" width="8.5" style="219" customWidth="1"/>
    <col min="14087" max="14087" width="5" style="219" customWidth="1"/>
    <col min="14088" max="14088" width="9.375" style="219" customWidth="1"/>
    <col min="14089" max="14335" width="9" style="219"/>
    <col min="14336" max="14336" width="34.625" style="219" customWidth="1"/>
    <col min="14337" max="14337" width="4.125" style="219" customWidth="1"/>
    <col min="14338" max="14338" width="8.5" style="219" customWidth="1"/>
    <col min="14339" max="14339" width="4.125" style="219" customWidth="1"/>
    <col min="14340" max="14340" width="8.5" style="219" customWidth="1"/>
    <col min="14341" max="14341" width="4.125" style="219" customWidth="1"/>
    <col min="14342" max="14342" width="8.5" style="219" customWidth="1"/>
    <col min="14343" max="14343" width="5" style="219" customWidth="1"/>
    <col min="14344" max="14344" width="9.375" style="219" customWidth="1"/>
    <col min="14345" max="14591" width="9" style="219"/>
    <col min="14592" max="14592" width="34.625" style="219" customWidth="1"/>
    <col min="14593" max="14593" width="4.125" style="219" customWidth="1"/>
    <col min="14594" max="14594" width="8.5" style="219" customWidth="1"/>
    <col min="14595" max="14595" width="4.125" style="219" customWidth="1"/>
    <col min="14596" max="14596" width="8.5" style="219" customWidth="1"/>
    <col min="14597" max="14597" width="4.125" style="219" customWidth="1"/>
    <col min="14598" max="14598" width="8.5" style="219" customWidth="1"/>
    <col min="14599" max="14599" width="5" style="219" customWidth="1"/>
    <col min="14600" max="14600" width="9.375" style="219" customWidth="1"/>
    <col min="14601" max="14847" width="9" style="219"/>
    <col min="14848" max="14848" width="34.625" style="219" customWidth="1"/>
    <col min="14849" max="14849" width="4.125" style="219" customWidth="1"/>
    <col min="14850" max="14850" width="8.5" style="219" customWidth="1"/>
    <col min="14851" max="14851" width="4.125" style="219" customWidth="1"/>
    <col min="14852" max="14852" width="8.5" style="219" customWidth="1"/>
    <col min="14853" max="14853" width="4.125" style="219" customWidth="1"/>
    <col min="14854" max="14854" width="8.5" style="219" customWidth="1"/>
    <col min="14855" max="14855" width="5" style="219" customWidth="1"/>
    <col min="14856" max="14856" width="9.375" style="219" customWidth="1"/>
    <col min="14857" max="15103" width="9" style="219"/>
    <col min="15104" max="15104" width="34.625" style="219" customWidth="1"/>
    <col min="15105" max="15105" width="4.125" style="219" customWidth="1"/>
    <col min="15106" max="15106" width="8.5" style="219" customWidth="1"/>
    <col min="15107" max="15107" width="4.125" style="219" customWidth="1"/>
    <col min="15108" max="15108" width="8.5" style="219" customWidth="1"/>
    <col min="15109" max="15109" width="4.125" style="219" customWidth="1"/>
    <col min="15110" max="15110" width="8.5" style="219" customWidth="1"/>
    <col min="15111" max="15111" width="5" style="219" customWidth="1"/>
    <col min="15112" max="15112" width="9.375" style="219" customWidth="1"/>
    <col min="15113" max="15359" width="9" style="219"/>
    <col min="15360" max="15360" width="34.625" style="219" customWidth="1"/>
    <col min="15361" max="15361" width="4.125" style="219" customWidth="1"/>
    <col min="15362" max="15362" width="8.5" style="219" customWidth="1"/>
    <col min="15363" max="15363" width="4.125" style="219" customWidth="1"/>
    <col min="15364" max="15364" width="8.5" style="219" customWidth="1"/>
    <col min="15365" max="15365" width="4.125" style="219" customWidth="1"/>
    <col min="15366" max="15366" width="8.5" style="219" customWidth="1"/>
    <col min="15367" max="15367" width="5" style="219" customWidth="1"/>
    <col min="15368" max="15368" width="9.375" style="219" customWidth="1"/>
    <col min="15369" max="15615" width="9" style="219"/>
    <col min="15616" max="15616" width="34.625" style="219" customWidth="1"/>
    <col min="15617" max="15617" width="4.125" style="219" customWidth="1"/>
    <col min="15618" max="15618" width="8.5" style="219" customWidth="1"/>
    <col min="15619" max="15619" width="4.125" style="219" customWidth="1"/>
    <col min="15620" max="15620" width="8.5" style="219" customWidth="1"/>
    <col min="15621" max="15621" width="4.125" style="219" customWidth="1"/>
    <col min="15622" max="15622" width="8.5" style="219" customWidth="1"/>
    <col min="15623" max="15623" width="5" style="219" customWidth="1"/>
    <col min="15624" max="15624" width="9.375" style="219" customWidth="1"/>
    <col min="15625" max="15871" width="9" style="219"/>
    <col min="15872" max="15872" width="34.625" style="219" customWidth="1"/>
    <col min="15873" max="15873" width="4.125" style="219" customWidth="1"/>
    <col min="15874" max="15874" width="8.5" style="219" customWidth="1"/>
    <col min="15875" max="15875" width="4.125" style="219" customWidth="1"/>
    <col min="15876" max="15876" width="8.5" style="219" customWidth="1"/>
    <col min="15877" max="15877" width="4.125" style="219" customWidth="1"/>
    <col min="15878" max="15878" width="8.5" style="219" customWidth="1"/>
    <col min="15879" max="15879" width="5" style="219" customWidth="1"/>
    <col min="15880" max="15880" width="9.375" style="219" customWidth="1"/>
    <col min="15881" max="16127" width="9" style="219"/>
    <col min="16128" max="16128" width="34.625" style="219" customWidth="1"/>
    <col min="16129" max="16129" width="4.125" style="219" customWidth="1"/>
    <col min="16130" max="16130" width="8.5" style="219" customWidth="1"/>
    <col min="16131" max="16131" width="4.125" style="219" customWidth="1"/>
    <col min="16132" max="16132" width="8.5" style="219" customWidth="1"/>
    <col min="16133" max="16133" width="4.125" style="219" customWidth="1"/>
    <col min="16134" max="16134" width="8.5" style="219" customWidth="1"/>
    <col min="16135" max="16135" width="5" style="219" customWidth="1"/>
    <col min="16136" max="16136" width="9.375" style="219" customWidth="1"/>
    <col min="16137" max="16384" width="9" style="219"/>
  </cols>
  <sheetData>
    <row r="1" spans="1:14" ht="17.25" x14ac:dyDescent="0.25">
      <c r="A1" s="421" t="s">
        <v>767</v>
      </c>
      <c r="B1" s="421"/>
      <c r="C1" s="421"/>
      <c r="D1" s="421"/>
      <c r="E1" s="421"/>
      <c r="F1" s="421"/>
      <c r="G1" s="421"/>
      <c r="H1" s="421"/>
      <c r="I1" s="421"/>
    </row>
    <row r="2" spans="1:14" ht="17.25" x14ac:dyDescent="0.25">
      <c r="A2" s="421" t="s">
        <v>768</v>
      </c>
      <c r="B2" s="421"/>
      <c r="C2" s="421"/>
      <c r="D2" s="421"/>
      <c r="E2" s="421"/>
      <c r="F2" s="421"/>
      <c r="G2" s="421"/>
      <c r="H2" s="421"/>
      <c r="I2" s="421"/>
    </row>
    <row r="3" spans="1:14" ht="18" customHeight="1" x14ac:dyDescent="0.25">
      <c r="A3" s="422" t="s">
        <v>1277</v>
      </c>
      <c r="B3" s="422"/>
      <c r="C3" s="422"/>
      <c r="D3" s="422"/>
      <c r="E3" s="422"/>
      <c r="F3" s="422"/>
      <c r="G3" s="422"/>
      <c r="H3" s="422"/>
      <c r="I3" s="422"/>
      <c r="J3" s="220"/>
    </row>
    <row r="4" spans="1:14" ht="18" customHeight="1" x14ac:dyDescent="0.25">
      <c r="A4" s="423" t="s">
        <v>1028</v>
      </c>
      <c r="B4" s="423"/>
      <c r="C4" s="423"/>
      <c r="D4" s="423"/>
      <c r="E4" s="423"/>
      <c r="F4" s="423"/>
      <c r="G4" s="423"/>
      <c r="H4" s="423"/>
      <c r="I4" s="423"/>
      <c r="J4" s="221"/>
    </row>
    <row r="5" spans="1:14" ht="18" customHeight="1" x14ac:dyDescent="0.25">
      <c r="A5" s="423" t="s">
        <v>1278</v>
      </c>
      <c r="B5" s="423"/>
      <c r="C5" s="423"/>
      <c r="D5" s="423"/>
      <c r="E5" s="423"/>
      <c r="F5" s="423"/>
      <c r="G5" s="423"/>
      <c r="H5" s="423"/>
      <c r="I5" s="423"/>
      <c r="J5" s="221"/>
    </row>
    <row r="6" spans="1:14" ht="18" customHeight="1" thickBot="1" x14ac:dyDescent="0.3">
      <c r="A6" s="423" t="s">
        <v>817</v>
      </c>
      <c r="B6" s="423"/>
      <c r="C6" s="423"/>
      <c r="D6" s="423"/>
      <c r="E6" s="423"/>
      <c r="F6" s="423"/>
      <c r="G6" s="423"/>
      <c r="H6" s="423"/>
      <c r="I6" s="423"/>
      <c r="J6" s="221"/>
    </row>
    <row r="7" spans="1:14" ht="31.5" customHeight="1" x14ac:dyDescent="0.25">
      <c r="A7" s="222" t="s">
        <v>1279</v>
      </c>
      <c r="B7" s="424" t="s">
        <v>1390</v>
      </c>
      <c r="C7" s="425"/>
      <c r="D7" s="425"/>
      <c r="E7" s="425"/>
      <c r="F7" s="425"/>
      <c r="G7" s="425"/>
      <c r="H7" s="425"/>
      <c r="I7" s="426"/>
      <c r="J7" s="223"/>
    </row>
    <row r="8" spans="1:14" ht="17.25" customHeight="1" x14ac:dyDescent="0.25">
      <c r="A8" s="427" t="s">
        <v>1280</v>
      </c>
      <c r="B8" s="428"/>
      <c r="C8" s="428"/>
      <c r="D8" s="428"/>
      <c r="E8" s="428"/>
      <c r="F8" s="428"/>
      <c r="G8" s="428"/>
      <c r="H8" s="428"/>
      <c r="I8" s="429"/>
      <c r="J8" s="224"/>
    </row>
    <row r="9" spans="1:14" ht="6.75" customHeight="1" x14ac:dyDescent="0.25">
      <c r="A9" s="225"/>
      <c r="B9" s="226"/>
      <c r="C9" s="226"/>
      <c r="D9" s="226"/>
      <c r="E9" s="226"/>
      <c r="F9" s="226"/>
      <c r="G9" s="226"/>
      <c r="H9" s="226"/>
      <c r="I9" s="227"/>
      <c r="J9" s="224"/>
    </row>
    <row r="10" spans="1:14" ht="18" customHeight="1" x14ac:dyDescent="0.25">
      <c r="A10" s="427" t="s">
        <v>1281</v>
      </c>
      <c r="B10" s="428"/>
      <c r="C10" s="428"/>
      <c r="D10" s="428"/>
      <c r="E10" s="428"/>
      <c r="F10" s="428"/>
      <c r="G10" s="428"/>
      <c r="H10" s="428"/>
      <c r="I10" s="429"/>
      <c r="J10" s="228"/>
    </row>
    <row r="11" spans="1:14" ht="36" x14ac:dyDescent="0.25">
      <c r="A11" s="229" t="s">
        <v>1147</v>
      </c>
      <c r="B11" s="230" t="s">
        <v>1282</v>
      </c>
      <c r="C11" s="231" t="s">
        <v>1283</v>
      </c>
      <c r="D11" s="231" t="s">
        <v>1284</v>
      </c>
      <c r="E11" s="231" t="s">
        <v>1285</v>
      </c>
      <c r="F11" s="231" t="s">
        <v>1286</v>
      </c>
      <c r="G11" s="232" t="s">
        <v>1287</v>
      </c>
      <c r="H11" s="232" t="s">
        <v>1288</v>
      </c>
      <c r="I11" s="233" t="s">
        <v>1289</v>
      </c>
      <c r="N11" s="234"/>
    </row>
    <row r="12" spans="1:14" hidden="1" x14ac:dyDescent="0.25">
      <c r="A12" s="235" t="s">
        <v>1290</v>
      </c>
      <c r="B12" s="236" t="s">
        <v>1291</v>
      </c>
      <c r="C12" s="237">
        <f>'[2]Pes. Admin.'!C12</f>
        <v>0</v>
      </c>
      <c r="D12" s="238">
        <f>'[2]Pes. Admin.'!E12</f>
        <v>12</v>
      </c>
      <c r="E12" s="239">
        <f>'[2]Pes. Admin.'!F12</f>
        <v>83.720635000000001</v>
      </c>
      <c r="F12" s="240">
        <f>E12*D12*C12</f>
        <v>0</v>
      </c>
      <c r="G12" s="241">
        <f>'[2]Pes. Admin.'!L12</f>
        <v>0</v>
      </c>
      <c r="H12" s="241">
        <f>'[2]Pes. Admin.'!K12</f>
        <v>0</v>
      </c>
      <c r="I12" s="242">
        <f>F12+G12+H12</f>
        <v>0</v>
      </c>
    </row>
    <row r="13" spans="1:14" x14ac:dyDescent="0.25">
      <c r="A13" s="235" t="s">
        <v>1292</v>
      </c>
      <c r="B13" s="236" t="s">
        <v>1293</v>
      </c>
      <c r="C13" s="238">
        <f>'[2]Pes. Admin.'!C13</f>
        <v>24</v>
      </c>
      <c r="D13" s="238">
        <f>'[2]Pes. Admin.'!E13</f>
        <v>12</v>
      </c>
      <c r="E13" s="239">
        <f>'[2]Pes. Admin.'!F13</f>
        <v>94.151099999999985</v>
      </c>
      <c r="F13" s="240">
        <f>E13*D13*C13</f>
        <v>27115.516799999998</v>
      </c>
      <c r="G13" s="241">
        <f>'[2]Pes. Admin.'!L13</f>
        <v>538.55999999999995</v>
      </c>
      <c r="H13" s="241">
        <f>'[2]Pes. Admin.'!K13</f>
        <v>417.59999999999997</v>
      </c>
      <c r="I13" s="242">
        <f t="shared" ref="I13:I24" si="0">F13+G13+H13</f>
        <v>28071.676799999997</v>
      </c>
    </row>
    <row r="14" spans="1:14" hidden="1" x14ac:dyDescent="0.25">
      <c r="A14" s="235" t="s">
        <v>1294</v>
      </c>
      <c r="B14" s="236" t="s">
        <v>1295</v>
      </c>
      <c r="C14" s="237">
        <f>'[2]Pes. Admin.'!C14</f>
        <v>0</v>
      </c>
      <c r="D14" s="238">
        <f>'[2]Pes. Admin.'!E14</f>
        <v>12</v>
      </c>
      <c r="E14" s="239">
        <f>'[2]Pes. Admin.'!F14</f>
        <v>94.151099999999985</v>
      </c>
      <c r="F14" s="240">
        <f>C14*D14*E14</f>
        <v>0</v>
      </c>
      <c r="G14" s="241">
        <f>'[2]Pes. Admin.'!L14</f>
        <v>0</v>
      </c>
      <c r="H14" s="241">
        <f>'[2]Pes. Admin.'!K14</f>
        <v>0</v>
      </c>
      <c r="I14" s="242">
        <f t="shared" si="0"/>
        <v>0</v>
      </c>
    </row>
    <row r="15" spans="1:14" hidden="1" x14ac:dyDescent="0.25">
      <c r="A15" s="235" t="s">
        <v>1296</v>
      </c>
      <c r="B15" s="243" t="s">
        <v>1297</v>
      </c>
      <c r="C15" s="237">
        <f>'[2]Pes. Admin.'!C15</f>
        <v>0</v>
      </c>
      <c r="D15" s="238">
        <f>'[2]Pes. Admin.'!E15</f>
        <v>12</v>
      </c>
      <c r="E15" s="239">
        <f>'[2]Pes. Admin.'!F15</f>
        <v>122.39643000000001</v>
      </c>
      <c r="F15" s="240">
        <f>E15*D15*C15</f>
        <v>0</v>
      </c>
      <c r="G15" s="241">
        <f>'[2]Pes. Admin.'!L15</f>
        <v>0</v>
      </c>
      <c r="H15" s="241">
        <f>'[2]Pes. Admin.'!K15</f>
        <v>0</v>
      </c>
      <c r="I15" s="242">
        <f t="shared" si="0"/>
        <v>0</v>
      </c>
    </row>
    <row r="16" spans="1:14" hidden="1" x14ac:dyDescent="0.25">
      <c r="A16" s="235" t="s">
        <v>1298</v>
      </c>
      <c r="B16" s="236" t="s">
        <v>1299</v>
      </c>
      <c r="C16" s="237">
        <f>'[2]Pes. Admin.'!C16</f>
        <v>0</v>
      </c>
      <c r="D16" s="238">
        <f>'[2]Pes. Admin.'!E16</f>
        <v>12</v>
      </c>
      <c r="E16" s="239">
        <f>'[2]Pes. Admin.'!G16</f>
        <v>35.448</v>
      </c>
      <c r="F16" s="240">
        <f>C16*D16*E16</f>
        <v>0</v>
      </c>
      <c r="G16" s="241">
        <f>'[2]Pes. Admin.'!L16</f>
        <v>0</v>
      </c>
      <c r="H16" s="241">
        <f>'[2]Pes. Admin.'!K16</f>
        <v>0</v>
      </c>
      <c r="I16" s="242">
        <f t="shared" si="0"/>
        <v>0</v>
      </c>
    </row>
    <row r="17" spans="1:14" hidden="1" x14ac:dyDescent="0.25">
      <c r="A17" s="235" t="s">
        <v>1300</v>
      </c>
      <c r="B17" s="243" t="s">
        <v>1301</v>
      </c>
      <c r="C17" s="237">
        <f>'[2]Pes. Admin.'!C17</f>
        <v>0</v>
      </c>
      <c r="D17" s="238">
        <f>'[2]Pes. Admin.'!E17</f>
        <v>12</v>
      </c>
      <c r="E17" s="240">
        <f>'[2]Pes. Admin.'!G17</f>
        <v>35.448</v>
      </c>
      <c r="F17" s="240">
        <f>E17*D17*C17</f>
        <v>0</v>
      </c>
      <c r="G17" s="241">
        <f>'[2]Pes. Admin.'!L17</f>
        <v>0</v>
      </c>
      <c r="H17" s="241">
        <f>'[2]Pes. Admin.'!K17</f>
        <v>0</v>
      </c>
      <c r="I17" s="242">
        <f t="shared" si="0"/>
        <v>0</v>
      </c>
    </row>
    <row r="18" spans="1:14" hidden="1" x14ac:dyDescent="0.25">
      <c r="A18" s="235" t="s">
        <v>1302</v>
      </c>
      <c r="B18" s="243" t="s">
        <v>1303</v>
      </c>
      <c r="C18" s="237">
        <f>'[2]Pes. Admin.'!C18</f>
        <v>0</v>
      </c>
      <c r="D18" s="238">
        <f>'[2]Pes. Admin.'!E18</f>
        <v>12</v>
      </c>
      <c r="E18" s="240">
        <f>'[2]Pes. Admin.'!G18</f>
        <v>26.586000000000002</v>
      </c>
      <c r="F18" s="240">
        <f>E18*D18*C18</f>
        <v>0</v>
      </c>
      <c r="G18" s="241">
        <f>'[2]Pes. Admin.'!L18</f>
        <v>0</v>
      </c>
      <c r="H18" s="241">
        <f>'[2]Pes. Admin.'!K18</f>
        <v>0</v>
      </c>
      <c r="I18" s="242">
        <f t="shared" si="0"/>
        <v>0</v>
      </c>
      <c r="L18" s="244"/>
      <c r="M18" s="234"/>
      <c r="N18" s="234"/>
    </row>
    <row r="19" spans="1:14" hidden="1" x14ac:dyDescent="0.25">
      <c r="A19" s="235" t="s">
        <v>1304</v>
      </c>
      <c r="B19" s="243" t="s">
        <v>1305</v>
      </c>
      <c r="C19" s="237">
        <f>'[2]Pes. Admin.'!C19</f>
        <v>0</v>
      </c>
      <c r="D19" s="238">
        <f>'[2]Pes. Admin.'!E19</f>
        <v>12</v>
      </c>
      <c r="E19" s="240">
        <f>'[2]Pes. Admin.'!F13</f>
        <v>94.151099999999985</v>
      </c>
      <c r="F19" s="240">
        <f>C19*D19*E19</f>
        <v>0</v>
      </c>
      <c r="G19" s="241">
        <f>'[2]Pes. Admin.'!L19</f>
        <v>0</v>
      </c>
      <c r="H19" s="241">
        <f>'[2]Pes. Admin.'!K19</f>
        <v>0</v>
      </c>
      <c r="I19" s="242">
        <f t="shared" si="0"/>
        <v>0</v>
      </c>
    </row>
    <row r="20" spans="1:14" hidden="1" x14ac:dyDescent="0.25">
      <c r="A20" s="235" t="s">
        <v>1306</v>
      </c>
      <c r="B20" s="243" t="s">
        <v>1307</v>
      </c>
      <c r="C20" s="237">
        <f>'[2]Pes. Admin.'!C20</f>
        <v>0</v>
      </c>
      <c r="D20" s="238">
        <f>'[2]Pes. Admin.'!E20</f>
        <v>12</v>
      </c>
      <c r="E20" s="240">
        <f>'[2]Pes. Admin.'!G20</f>
        <v>12.362489999999999</v>
      </c>
      <c r="F20" s="240">
        <f t="shared" ref="F20:F24" si="1">C20*D20*E20</f>
        <v>0</v>
      </c>
      <c r="G20" s="241">
        <f>'[2]Pes. Admin.'!L20</f>
        <v>0</v>
      </c>
      <c r="H20" s="241">
        <f>'[2]Pes. Admin.'!K20</f>
        <v>0</v>
      </c>
      <c r="I20" s="242">
        <f t="shared" si="0"/>
        <v>0</v>
      </c>
    </row>
    <row r="21" spans="1:14" hidden="1" x14ac:dyDescent="0.25">
      <c r="A21" s="235" t="s">
        <v>1308</v>
      </c>
      <c r="B21" s="243" t="s">
        <v>1309</v>
      </c>
      <c r="C21" s="237">
        <f>'[2]Pes. Admin.'!C21</f>
        <v>0</v>
      </c>
      <c r="D21" s="238">
        <f>'[2]Pes. Admin.'!E21</f>
        <v>12</v>
      </c>
      <c r="E21" s="240">
        <f>'[2]Pes. Admin.'!G21</f>
        <v>9.2164800000000007</v>
      </c>
      <c r="F21" s="240">
        <f t="shared" si="1"/>
        <v>0</v>
      </c>
      <c r="G21" s="241">
        <f>'[2]Pes. Admin.'!L21</f>
        <v>0</v>
      </c>
      <c r="H21" s="241">
        <f>'[2]Pes. Admin.'!K21</f>
        <v>0</v>
      </c>
      <c r="I21" s="242">
        <f t="shared" si="0"/>
        <v>0</v>
      </c>
    </row>
    <row r="22" spans="1:14" hidden="1" x14ac:dyDescent="0.25">
      <c r="A22" s="235" t="s">
        <v>1310</v>
      </c>
      <c r="B22" s="243" t="s">
        <v>1311</v>
      </c>
      <c r="C22" s="237">
        <f>'[2]Pes. Admin.'!C22</f>
        <v>0</v>
      </c>
      <c r="D22" s="238">
        <f>'[2]Pes. Admin.'!E22</f>
        <v>12</v>
      </c>
      <c r="E22" s="240">
        <f>'[2]Pes. Admin.'!G22</f>
        <v>8.7408860000000015</v>
      </c>
      <c r="F22" s="240">
        <f t="shared" si="1"/>
        <v>0</v>
      </c>
      <c r="G22" s="241">
        <f>'[2]Pes. Admin.'!L22</f>
        <v>0</v>
      </c>
      <c r="H22" s="241">
        <f>'[2]Pes. Admin.'!K22</f>
        <v>0</v>
      </c>
      <c r="I22" s="242">
        <f t="shared" si="0"/>
        <v>0</v>
      </c>
    </row>
    <row r="23" spans="1:14" hidden="1" x14ac:dyDescent="0.25">
      <c r="A23" s="235" t="s">
        <v>1312</v>
      </c>
      <c r="B23" s="243" t="s">
        <v>1313</v>
      </c>
      <c r="C23" s="237">
        <f>'[2]Pes. Admin.'!C23</f>
        <v>0</v>
      </c>
      <c r="D23" s="238">
        <f>'[2]Pes. Admin.'!E23</f>
        <v>12</v>
      </c>
      <c r="E23" s="240">
        <f>'[2]Pes. Admin.'!G23</f>
        <v>0</v>
      </c>
      <c r="F23" s="240">
        <f t="shared" si="1"/>
        <v>0</v>
      </c>
      <c r="G23" s="241">
        <f>'[2]Pes. Admin.'!L23</f>
        <v>0</v>
      </c>
      <c r="H23" s="241">
        <f>'[2]Pes. Admin.'!K23</f>
        <v>0</v>
      </c>
      <c r="I23" s="242">
        <f t="shared" si="0"/>
        <v>0</v>
      </c>
    </row>
    <row r="24" spans="1:14" hidden="1" x14ac:dyDescent="0.25">
      <c r="A24" s="235" t="s">
        <v>1314</v>
      </c>
      <c r="B24" s="245" t="s">
        <v>1315</v>
      </c>
      <c r="C24" s="237">
        <f>'[2]Pes. Admin.'!C24</f>
        <v>0</v>
      </c>
      <c r="D24" s="238">
        <f>'[2]Pes. Admin.'!E24</f>
        <v>12</v>
      </c>
      <c r="E24" s="246">
        <f>'[2]Pes. Admin.'!G24</f>
        <v>0</v>
      </c>
      <c r="F24" s="240">
        <f t="shared" si="1"/>
        <v>0</v>
      </c>
      <c r="G24" s="241">
        <f>'[2]Pes. Admin.'!L24</f>
        <v>0</v>
      </c>
      <c r="H24" s="241">
        <f>'[2]Pes. Admin.'!K24</f>
        <v>0</v>
      </c>
      <c r="I24" s="242">
        <f t="shared" si="0"/>
        <v>0</v>
      </c>
    </row>
    <row r="25" spans="1:14" x14ac:dyDescent="0.25">
      <c r="A25" s="430" t="s">
        <v>1316</v>
      </c>
      <c r="B25" s="431"/>
      <c r="C25" s="431"/>
      <c r="D25" s="431"/>
      <c r="E25" s="431"/>
      <c r="F25" s="247">
        <f>SUM(F12:F24)</f>
        <v>27115.516799999998</v>
      </c>
      <c r="G25" s="247">
        <f>SUM(G12:G24)</f>
        <v>538.55999999999995</v>
      </c>
      <c r="H25" s="247">
        <f>SUM(H12:H24)</f>
        <v>417.59999999999997</v>
      </c>
      <c r="I25" s="248">
        <f>SUM(I12:I24)</f>
        <v>28071.676799999997</v>
      </c>
      <c r="J25" s="249"/>
    </row>
    <row r="26" spans="1:14" x14ac:dyDescent="0.25">
      <c r="A26" s="432"/>
      <c r="B26" s="433"/>
      <c r="C26" s="433"/>
      <c r="D26" s="433"/>
      <c r="E26" s="433"/>
      <c r="F26" s="433"/>
      <c r="G26" s="433"/>
      <c r="H26" s="250"/>
      <c r="I26" s="251"/>
      <c r="K26" s="252"/>
    </row>
    <row r="27" spans="1:14" ht="18" customHeight="1" x14ac:dyDescent="0.25">
      <c r="A27" s="419" t="s">
        <v>1317</v>
      </c>
      <c r="B27" s="420"/>
      <c r="C27" s="420"/>
      <c r="D27" s="420"/>
      <c r="E27" s="420"/>
      <c r="F27" s="420"/>
      <c r="G27" s="420"/>
      <c r="H27" s="253"/>
      <c r="I27" s="254"/>
    </row>
    <row r="28" spans="1:14" ht="37.5" customHeight="1" x14ac:dyDescent="0.25">
      <c r="A28" s="255" t="s">
        <v>1147</v>
      </c>
      <c r="B28" s="256" t="s">
        <v>1318</v>
      </c>
      <c r="C28" s="256" t="s">
        <v>1319</v>
      </c>
      <c r="D28" s="257" t="s">
        <v>1320</v>
      </c>
      <c r="E28" s="257" t="s">
        <v>1321</v>
      </c>
      <c r="F28" s="258" t="s">
        <v>1322</v>
      </c>
      <c r="G28" s="258" t="s">
        <v>1323</v>
      </c>
      <c r="H28" s="234"/>
      <c r="I28" s="254"/>
    </row>
    <row r="29" spans="1:14" ht="15" customHeight="1" x14ac:dyDescent="0.25">
      <c r="A29" s="259" t="s">
        <v>1324</v>
      </c>
      <c r="B29" s="260" t="s">
        <v>1325</v>
      </c>
      <c r="C29" s="261" t="s">
        <v>1326</v>
      </c>
      <c r="D29" s="261">
        <v>1</v>
      </c>
      <c r="E29" s="262">
        <f>[2]SESMT!E7</f>
        <v>12</v>
      </c>
      <c r="F29" s="263">
        <f>[2]SESMT!F7</f>
        <v>94.151099999999985</v>
      </c>
      <c r="G29" s="263">
        <f>D29*E29*F29</f>
        <v>1129.8131999999998</v>
      </c>
      <c r="H29" s="264"/>
      <c r="I29" s="254"/>
    </row>
    <row r="30" spans="1:14" ht="15" customHeight="1" x14ac:dyDescent="0.25">
      <c r="A30" s="259" t="s">
        <v>1327</v>
      </c>
      <c r="B30" s="260" t="s">
        <v>1328</v>
      </c>
      <c r="C30" s="261" t="s">
        <v>1326</v>
      </c>
      <c r="D30" s="261">
        <f>[2]SESMT!D8</f>
        <v>0</v>
      </c>
      <c r="E30" s="262">
        <f>[2]SESMT!E8</f>
        <v>12</v>
      </c>
      <c r="F30" s="263">
        <f>[2]SESMT!F8</f>
        <v>94.151099999999985</v>
      </c>
      <c r="G30" s="263">
        <f>D30*E30*F30</f>
        <v>0</v>
      </c>
      <c r="H30" s="264"/>
      <c r="I30" s="254"/>
    </row>
    <row r="31" spans="1:14" ht="15" customHeight="1" x14ac:dyDescent="0.25">
      <c r="A31" s="259" t="s">
        <v>1329</v>
      </c>
      <c r="B31" s="260" t="s">
        <v>1330</v>
      </c>
      <c r="C31" s="261" t="s">
        <v>1326</v>
      </c>
      <c r="D31" s="261">
        <v>0</v>
      </c>
      <c r="E31" s="262">
        <f>[2]SESMT!E9</f>
        <v>12</v>
      </c>
      <c r="F31" s="263">
        <f>[2]SESMT!G9</f>
        <v>35.448</v>
      </c>
      <c r="G31" s="263">
        <f>D31*E31*F31</f>
        <v>0</v>
      </c>
      <c r="H31" s="264"/>
      <c r="I31" s="254"/>
    </row>
    <row r="32" spans="1:14" ht="15" customHeight="1" x14ac:dyDescent="0.25">
      <c r="A32" s="436" t="s">
        <v>1331</v>
      </c>
      <c r="B32" s="437"/>
      <c r="C32" s="437"/>
      <c r="D32" s="437"/>
      <c r="E32" s="437"/>
      <c r="F32" s="437"/>
      <c r="G32" s="265">
        <f>SUM(G29:G31)</f>
        <v>1129.8131999999998</v>
      </c>
      <c r="H32" s="266"/>
      <c r="I32" s="254"/>
    </row>
    <row r="33" spans="1:9" ht="15" customHeight="1" x14ac:dyDescent="0.25">
      <c r="A33" s="267" t="s">
        <v>1147</v>
      </c>
      <c r="B33" s="268" t="s">
        <v>1332</v>
      </c>
      <c r="C33" s="438" t="s">
        <v>1333</v>
      </c>
      <c r="D33" s="438"/>
      <c r="E33" s="269"/>
      <c r="F33" s="270"/>
      <c r="G33" s="271"/>
      <c r="H33" s="272"/>
      <c r="I33" s="254"/>
    </row>
    <row r="34" spans="1:9" ht="15" customHeight="1" x14ac:dyDescent="0.25">
      <c r="A34" s="273" t="s">
        <v>1334</v>
      </c>
      <c r="B34" s="274" t="s">
        <v>1335</v>
      </c>
      <c r="C34" s="439">
        <f>[2]SESMT!I20</f>
        <v>1500</v>
      </c>
      <c r="D34" s="439"/>
      <c r="E34" s="275"/>
      <c r="F34" s="276"/>
      <c r="G34" s="277"/>
      <c r="H34" s="276"/>
      <c r="I34" s="254"/>
    </row>
    <row r="35" spans="1:9" x14ac:dyDescent="0.25">
      <c r="A35" s="273" t="s">
        <v>1336</v>
      </c>
      <c r="B35" s="274" t="s">
        <v>1337</v>
      </c>
      <c r="C35" s="440">
        <f>[2]SESMT!I21</f>
        <v>1500</v>
      </c>
      <c r="D35" s="440"/>
      <c r="E35" s="441"/>
      <c r="F35" s="442"/>
      <c r="G35" s="278"/>
      <c r="H35" s="279"/>
      <c r="I35" s="254"/>
    </row>
    <row r="36" spans="1:9" ht="15" customHeight="1" x14ac:dyDescent="0.25">
      <c r="A36" s="273" t="s">
        <v>1338</v>
      </c>
      <c r="B36" s="274" t="s">
        <v>1339</v>
      </c>
      <c r="C36" s="440">
        <f>[2]SESMT!I22</f>
        <v>0</v>
      </c>
      <c r="D36" s="440"/>
      <c r="E36" s="443"/>
      <c r="F36" s="444"/>
      <c r="G36" s="445"/>
      <c r="H36" s="280"/>
      <c r="I36" s="254"/>
    </row>
    <row r="37" spans="1:9" ht="15" customHeight="1" x14ac:dyDescent="0.25">
      <c r="A37" s="273" t="s">
        <v>1340</v>
      </c>
      <c r="B37" s="274" t="s">
        <v>1341</v>
      </c>
      <c r="C37" s="440">
        <f>[2]SESMT!J27</f>
        <v>0</v>
      </c>
      <c r="D37" s="440"/>
      <c r="E37" s="446"/>
      <c r="F37" s="447"/>
      <c r="G37" s="450"/>
      <c r="H37" s="281"/>
      <c r="I37" s="254"/>
    </row>
    <row r="38" spans="1:9" ht="15" customHeight="1" x14ac:dyDescent="0.25">
      <c r="A38" s="452" t="s">
        <v>1342</v>
      </c>
      <c r="B38" s="453"/>
      <c r="C38" s="454">
        <f>C34+C35+C36+C37</f>
        <v>3000</v>
      </c>
      <c r="D38" s="454"/>
      <c r="E38" s="448"/>
      <c r="F38" s="449"/>
      <c r="G38" s="451"/>
      <c r="H38" s="282"/>
      <c r="I38" s="254"/>
    </row>
    <row r="39" spans="1:9" ht="18" customHeight="1" x14ac:dyDescent="0.25">
      <c r="A39" s="434" t="s">
        <v>1343</v>
      </c>
      <c r="B39" s="435"/>
      <c r="C39" s="435"/>
      <c r="D39" s="435"/>
      <c r="E39" s="435"/>
      <c r="F39" s="435"/>
      <c r="G39" s="283">
        <f>G32+C38</f>
        <v>4129.8131999999996</v>
      </c>
      <c r="H39" s="284"/>
      <c r="I39" s="254"/>
    </row>
    <row r="40" spans="1:9" ht="6.75" customHeight="1" x14ac:dyDescent="0.25">
      <c r="A40" s="456"/>
      <c r="B40" s="457"/>
      <c r="C40" s="457"/>
      <c r="D40" s="457"/>
      <c r="E40" s="457"/>
      <c r="F40" s="457"/>
      <c r="G40" s="457"/>
      <c r="H40" s="285"/>
      <c r="I40" s="254"/>
    </row>
    <row r="41" spans="1:9" ht="18" hidden="1" customHeight="1" x14ac:dyDescent="0.25">
      <c r="A41" s="458" t="s">
        <v>1344</v>
      </c>
      <c r="B41" s="459"/>
      <c r="C41" s="459"/>
      <c r="D41" s="459"/>
      <c r="E41" s="459"/>
      <c r="F41" s="459"/>
      <c r="G41" s="459"/>
      <c r="H41" s="286"/>
      <c r="I41" s="254"/>
    </row>
    <row r="42" spans="1:9" ht="30" hidden="1" customHeight="1" x14ac:dyDescent="0.25">
      <c r="A42" s="287" t="s">
        <v>1345</v>
      </c>
      <c r="B42" s="286" t="s">
        <v>1346</v>
      </c>
      <c r="C42" s="286" t="s">
        <v>1319</v>
      </c>
      <c r="D42" s="286" t="s">
        <v>1320</v>
      </c>
      <c r="E42" s="288" t="s">
        <v>1347</v>
      </c>
      <c r="F42" s="459" t="s">
        <v>1348</v>
      </c>
      <c r="G42" s="459"/>
      <c r="H42" s="289"/>
      <c r="I42" s="254"/>
    </row>
    <row r="43" spans="1:9" ht="15" hidden="1" customHeight="1" x14ac:dyDescent="0.25">
      <c r="A43" s="290" t="s">
        <v>1349</v>
      </c>
      <c r="B43" s="291" t="s">
        <v>1350</v>
      </c>
      <c r="C43" s="292" t="s">
        <v>1351</v>
      </c>
      <c r="D43" s="293">
        <f>'[2]Mat. Esc. Obra'!E9</f>
        <v>12</v>
      </c>
      <c r="E43" s="294">
        <f>'[2]Mat. Esc. Obra'!I9</f>
        <v>0</v>
      </c>
      <c r="F43" s="460">
        <f>D43*E43</f>
        <v>0</v>
      </c>
      <c r="G43" s="460"/>
      <c r="H43" s="294"/>
      <c r="I43" s="254"/>
    </row>
    <row r="44" spans="1:9" ht="15" hidden="1" customHeight="1" x14ac:dyDescent="0.25">
      <c r="A44" s="290" t="s">
        <v>1352</v>
      </c>
      <c r="B44" s="291" t="s">
        <v>1353</v>
      </c>
      <c r="C44" s="292" t="s">
        <v>1351</v>
      </c>
      <c r="D44" s="293">
        <f>'[2]Mat. Esc. Obra'!E10</f>
        <v>12</v>
      </c>
      <c r="E44" s="294">
        <f>'[2]Mat. Esc. Obra'!I10</f>
        <v>0</v>
      </c>
      <c r="F44" s="460">
        <f>D44*E44</f>
        <v>0</v>
      </c>
      <c r="G44" s="460"/>
      <c r="H44" s="294"/>
      <c r="I44" s="254"/>
    </row>
    <row r="45" spans="1:9" ht="30" hidden="1" customHeight="1" x14ac:dyDescent="0.25">
      <c r="A45" s="290" t="s">
        <v>1354</v>
      </c>
      <c r="B45" s="295" t="s">
        <v>1355</v>
      </c>
      <c r="C45" s="296" t="s">
        <v>1356</v>
      </c>
      <c r="D45" s="297">
        <f>'[2]Mat. Esc. Obra'!H11</f>
        <v>0</v>
      </c>
      <c r="E45" s="294">
        <f>'[2]Mat. Esc. Obra'!I11</f>
        <v>0</v>
      </c>
      <c r="F45" s="460">
        <f>D45*E45</f>
        <v>0</v>
      </c>
      <c r="G45" s="460"/>
      <c r="H45" s="294"/>
      <c r="I45" s="254"/>
    </row>
    <row r="46" spans="1:9" ht="15" hidden="1" customHeight="1" thickBot="1" x14ac:dyDescent="0.3">
      <c r="A46" s="461" t="s">
        <v>1357</v>
      </c>
      <c r="B46" s="462"/>
      <c r="C46" s="462"/>
      <c r="D46" s="462"/>
      <c r="E46" s="462"/>
      <c r="F46" s="463">
        <f>F43+F44+F45</f>
        <v>0</v>
      </c>
      <c r="G46" s="463"/>
      <c r="H46" s="298"/>
      <c r="I46" s="299"/>
    </row>
    <row r="47" spans="1:9" ht="15" hidden="1" customHeight="1" thickBot="1" x14ac:dyDescent="0.3">
      <c r="A47" s="464"/>
      <c r="B47" s="465"/>
      <c r="C47" s="465"/>
      <c r="D47" s="465"/>
      <c r="E47" s="465"/>
      <c r="F47" s="465"/>
      <c r="G47" s="465"/>
      <c r="H47" s="300"/>
      <c r="I47" s="254"/>
    </row>
    <row r="48" spans="1:9" ht="18" hidden="1" customHeight="1" x14ac:dyDescent="0.25">
      <c r="A48" s="458" t="s">
        <v>1358</v>
      </c>
      <c r="B48" s="459"/>
      <c r="C48" s="459"/>
      <c r="D48" s="459"/>
      <c r="E48" s="459"/>
      <c r="F48" s="459"/>
      <c r="G48" s="459"/>
      <c r="H48" s="286"/>
      <c r="I48" s="254"/>
    </row>
    <row r="49" spans="1:10" ht="15" hidden="1" customHeight="1" x14ac:dyDescent="0.25">
      <c r="A49" s="287" t="s">
        <v>1147</v>
      </c>
      <c r="B49" s="286" t="s">
        <v>1346</v>
      </c>
      <c r="C49" s="286" t="s">
        <v>1319</v>
      </c>
      <c r="D49" s="286" t="s">
        <v>1320</v>
      </c>
      <c r="E49" s="301" t="s">
        <v>1333</v>
      </c>
      <c r="F49" s="459" t="s">
        <v>1359</v>
      </c>
      <c r="G49" s="459"/>
      <c r="H49" s="289"/>
      <c r="I49" s="254"/>
    </row>
    <row r="50" spans="1:10" ht="16.5" hidden="1" customHeight="1" x14ac:dyDescent="0.25">
      <c r="A50" s="302" t="s">
        <v>1360</v>
      </c>
      <c r="B50" s="303" t="s">
        <v>1361</v>
      </c>
      <c r="C50" s="289" t="s">
        <v>1362</v>
      </c>
      <c r="D50" s="289">
        <f>'[2]Mat. Esc. Obra'!F8</f>
        <v>0.1</v>
      </c>
      <c r="E50" s="304">
        <f>'[2]Mat. Esc. Obra'!I8</f>
        <v>0</v>
      </c>
      <c r="F50" s="455">
        <f>D50*E50</f>
        <v>0</v>
      </c>
      <c r="G50" s="455"/>
      <c r="H50" s="305"/>
      <c r="I50" s="254"/>
    </row>
    <row r="51" spans="1:10" ht="15" hidden="1" customHeight="1" thickBot="1" x14ac:dyDescent="0.3">
      <c r="A51" s="461" t="s">
        <v>1363</v>
      </c>
      <c r="B51" s="462"/>
      <c r="C51" s="462"/>
      <c r="D51" s="462"/>
      <c r="E51" s="462"/>
      <c r="F51" s="463">
        <f>F50</f>
        <v>0</v>
      </c>
      <c r="G51" s="463"/>
      <c r="H51" s="298"/>
      <c r="I51" s="254"/>
    </row>
    <row r="52" spans="1:10" ht="6.75" customHeight="1" x14ac:dyDescent="0.25">
      <c r="A52" s="464"/>
      <c r="B52" s="465"/>
      <c r="C52" s="465"/>
      <c r="D52" s="465"/>
      <c r="E52" s="465"/>
      <c r="F52" s="465"/>
      <c r="G52" s="465"/>
      <c r="H52" s="300"/>
      <c r="I52" s="254"/>
    </row>
    <row r="53" spans="1:10" ht="18" customHeight="1" x14ac:dyDescent="0.25">
      <c r="A53" s="466" t="s">
        <v>1364</v>
      </c>
      <c r="B53" s="467"/>
      <c r="C53" s="467"/>
      <c r="D53" s="467"/>
      <c r="E53" s="467"/>
      <c r="F53" s="467"/>
      <c r="G53" s="467"/>
      <c r="H53" s="286"/>
      <c r="I53" s="254"/>
    </row>
    <row r="54" spans="1:10" ht="37.5" customHeight="1" x14ac:dyDescent="0.25">
      <c r="A54" s="229" t="s">
        <v>1147</v>
      </c>
      <c r="B54" s="230" t="s">
        <v>1346</v>
      </c>
      <c r="C54" s="468" t="s">
        <v>1365</v>
      </c>
      <c r="D54" s="468"/>
      <c r="E54" s="469" t="s">
        <v>1366</v>
      </c>
      <c r="F54" s="469"/>
      <c r="G54" s="306" t="s">
        <v>1367</v>
      </c>
      <c r="H54" s="307"/>
      <c r="I54" s="254"/>
    </row>
    <row r="55" spans="1:10" ht="24" x14ac:dyDescent="0.25">
      <c r="A55" s="308" t="s">
        <v>1368</v>
      </c>
      <c r="B55" s="309" t="s">
        <v>1369</v>
      </c>
      <c r="C55" s="470">
        <f>[2]Veíc.Mot.!F12</f>
        <v>0.11890000000000001</v>
      </c>
      <c r="D55" s="470"/>
      <c r="E55" s="471">
        <f>[2]Veíc.Mot.!J12</f>
        <v>90016.839000000007</v>
      </c>
      <c r="F55" s="435"/>
      <c r="G55" s="310">
        <f>C55*E55</f>
        <v>10703.002157100002</v>
      </c>
      <c r="H55" s="294"/>
      <c r="I55" s="254"/>
      <c r="J55" s="249"/>
    </row>
    <row r="56" spans="1:10" ht="24" x14ac:dyDescent="0.25">
      <c r="A56" s="472"/>
      <c r="B56" s="473"/>
      <c r="C56" s="311" t="s">
        <v>1026</v>
      </c>
      <c r="D56" s="311" t="s">
        <v>1370</v>
      </c>
      <c r="E56" s="312" t="s">
        <v>1371</v>
      </c>
      <c r="F56" s="473" t="s">
        <v>1372</v>
      </c>
      <c r="G56" s="473"/>
      <c r="H56" s="289"/>
      <c r="I56" s="254"/>
    </row>
    <row r="57" spans="1:10" ht="15" customHeight="1" x14ac:dyDescent="0.25">
      <c r="A57" s="308" t="s">
        <v>1373</v>
      </c>
      <c r="B57" s="274" t="s">
        <v>1374</v>
      </c>
      <c r="C57" s="246" t="s">
        <v>1375</v>
      </c>
      <c r="D57" s="313">
        <f>[2]Veíc.Mot.!C21*22/10*12</f>
        <v>11880</v>
      </c>
      <c r="E57" s="310">
        <v>5.5</v>
      </c>
      <c r="F57" s="440">
        <f>D57*E57</f>
        <v>65340</v>
      </c>
      <c r="G57" s="440"/>
      <c r="H57" s="296"/>
      <c r="I57" s="254"/>
    </row>
    <row r="58" spans="1:10" ht="15" hidden="1" customHeight="1" x14ac:dyDescent="0.25">
      <c r="A58" s="308" t="s">
        <v>1376</v>
      </c>
      <c r="B58" s="314" t="s">
        <v>1377</v>
      </c>
      <c r="C58" s="246" t="s">
        <v>1351</v>
      </c>
      <c r="D58" s="315"/>
      <c r="E58" s="310"/>
      <c r="F58" s="440">
        <f>D57*E58</f>
        <v>0</v>
      </c>
      <c r="G58" s="440"/>
      <c r="H58" s="296"/>
      <c r="I58" s="254"/>
    </row>
    <row r="59" spans="1:10" ht="18" customHeight="1" x14ac:dyDescent="0.25">
      <c r="A59" s="434" t="s">
        <v>1378</v>
      </c>
      <c r="B59" s="474"/>
      <c r="C59" s="474"/>
      <c r="D59" s="474"/>
      <c r="E59" s="474"/>
      <c r="F59" s="454">
        <f>SUM(G55,F57,F58)</f>
        <v>76043.002157099996</v>
      </c>
      <c r="G59" s="454"/>
      <c r="H59" s="298"/>
      <c r="I59" s="254"/>
    </row>
    <row r="60" spans="1:10" ht="7.5" customHeight="1" x14ac:dyDescent="0.25">
      <c r="A60" s="456"/>
      <c r="B60" s="457"/>
      <c r="C60" s="457"/>
      <c r="D60" s="457"/>
      <c r="E60" s="457"/>
      <c r="F60" s="457"/>
      <c r="G60" s="457"/>
      <c r="H60" s="285"/>
      <c r="I60" s="254"/>
    </row>
    <row r="61" spans="1:10" ht="18" customHeight="1" x14ac:dyDescent="0.25">
      <c r="A61" s="419" t="s">
        <v>1379</v>
      </c>
      <c r="B61" s="420"/>
      <c r="C61" s="420"/>
      <c r="D61" s="420"/>
      <c r="E61" s="420"/>
      <c r="F61" s="420"/>
      <c r="G61" s="420"/>
      <c r="H61" s="316"/>
      <c r="I61" s="254"/>
    </row>
    <row r="62" spans="1:10" ht="13.5" customHeight="1" x14ac:dyDescent="0.25">
      <c r="A62" s="229" t="s">
        <v>1147</v>
      </c>
      <c r="B62" s="467" t="s">
        <v>1346</v>
      </c>
      <c r="C62" s="467"/>
      <c r="D62" s="467"/>
      <c r="E62" s="475" t="s">
        <v>1380</v>
      </c>
      <c r="F62" s="475"/>
      <c r="G62" s="475"/>
      <c r="H62" s="317"/>
      <c r="I62" s="254"/>
    </row>
    <row r="63" spans="1:10" x14ac:dyDescent="0.25">
      <c r="A63" s="318">
        <v>1</v>
      </c>
      <c r="B63" s="476" t="s">
        <v>1381</v>
      </c>
      <c r="C63" s="476"/>
      <c r="D63" s="476"/>
      <c r="E63" s="477">
        <f>I25</f>
        <v>28071.676799999997</v>
      </c>
      <c r="F63" s="477"/>
      <c r="G63" s="477"/>
      <c r="H63" s="319"/>
      <c r="I63" s="254"/>
    </row>
    <row r="64" spans="1:10" ht="15" customHeight="1" x14ac:dyDescent="0.25">
      <c r="A64" s="318">
        <v>2</v>
      </c>
      <c r="B64" s="478" t="s">
        <v>1382</v>
      </c>
      <c r="C64" s="478"/>
      <c r="D64" s="478"/>
      <c r="E64" s="477">
        <f>G39</f>
        <v>4129.8131999999996</v>
      </c>
      <c r="F64" s="477"/>
      <c r="G64" s="477"/>
      <c r="H64" s="319"/>
      <c r="I64" s="299"/>
    </row>
    <row r="65" spans="1:14" ht="15" customHeight="1" x14ac:dyDescent="0.25">
      <c r="A65" s="318">
        <v>3</v>
      </c>
      <c r="B65" s="478" t="s">
        <v>1383</v>
      </c>
      <c r="C65" s="478"/>
      <c r="D65" s="478"/>
      <c r="E65" s="477">
        <f>F46</f>
        <v>0</v>
      </c>
      <c r="F65" s="477"/>
      <c r="G65" s="477"/>
      <c r="H65" s="319"/>
      <c r="I65" s="254"/>
    </row>
    <row r="66" spans="1:14" ht="30" customHeight="1" x14ac:dyDescent="0.25">
      <c r="A66" s="308">
        <v>4</v>
      </c>
      <c r="B66" s="482" t="s">
        <v>1384</v>
      </c>
      <c r="C66" s="482"/>
      <c r="D66" s="482"/>
      <c r="E66" s="483">
        <f>F51</f>
        <v>0</v>
      </c>
      <c r="F66" s="483"/>
      <c r="G66" s="483"/>
      <c r="H66" s="319"/>
      <c r="I66" s="254"/>
    </row>
    <row r="67" spans="1:14" ht="15" customHeight="1" x14ac:dyDescent="0.25">
      <c r="A67" s="318">
        <v>5</v>
      </c>
      <c r="B67" s="478" t="s">
        <v>1385</v>
      </c>
      <c r="C67" s="478"/>
      <c r="D67" s="478"/>
      <c r="E67" s="477">
        <f>F59</f>
        <v>76043.002157099996</v>
      </c>
      <c r="F67" s="477"/>
      <c r="G67" s="477"/>
      <c r="H67" s="319"/>
    </row>
    <row r="68" spans="1:14" ht="18" customHeight="1" x14ac:dyDescent="0.25">
      <c r="A68" s="436" t="s">
        <v>1386</v>
      </c>
      <c r="B68" s="437"/>
      <c r="C68" s="437"/>
      <c r="D68" s="437"/>
      <c r="E68" s="484">
        <f>SUM(E63:G67)</f>
        <v>108244.4921571</v>
      </c>
      <c r="F68" s="484"/>
      <c r="G68" s="484"/>
      <c r="I68" s="320"/>
      <c r="K68" s="249">
        <f>E68/100</f>
        <v>1082.4449215710001</v>
      </c>
      <c r="L68" s="321"/>
      <c r="N68" s="322">
        <v>63682.686469</v>
      </c>
    </row>
    <row r="69" spans="1:14" ht="18" customHeight="1" x14ac:dyDescent="0.25">
      <c r="A69" s="485" t="s">
        <v>1387</v>
      </c>
      <c r="B69" s="486"/>
      <c r="C69" s="486"/>
      <c r="D69" s="487"/>
      <c r="E69" s="488">
        <f>E68*1.2503</f>
        <v>135338.08854402212</v>
      </c>
      <c r="F69" s="488"/>
      <c r="G69" s="488"/>
      <c r="H69" s="323"/>
      <c r="I69" s="254"/>
    </row>
    <row r="70" spans="1:14" ht="7.5" customHeight="1" x14ac:dyDescent="0.25">
      <c r="A70" s="489"/>
      <c r="B70" s="490"/>
      <c r="C70" s="490"/>
      <c r="D70" s="490"/>
      <c r="E70" s="490"/>
      <c r="F70" s="490"/>
      <c r="G70" s="490"/>
      <c r="H70" s="226"/>
      <c r="I70" s="254"/>
    </row>
    <row r="71" spans="1:14" ht="17.25" customHeight="1" x14ac:dyDescent="0.25">
      <c r="A71" s="419" t="s">
        <v>1346</v>
      </c>
      <c r="B71" s="420"/>
      <c r="C71" s="324" t="s">
        <v>1319</v>
      </c>
      <c r="D71" s="256" t="s">
        <v>1320</v>
      </c>
      <c r="E71" s="420" t="s">
        <v>1388</v>
      </c>
      <c r="F71" s="420"/>
      <c r="G71" s="420"/>
      <c r="H71" s="253"/>
      <c r="I71" s="254"/>
    </row>
    <row r="72" spans="1:14" ht="17.25" customHeight="1" thickBot="1" x14ac:dyDescent="0.3">
      <c r="A72" s="479" t="s">
        <v>1389</v>
      </c>
      <c r="B72" s="480"/>
      <c r="C72" s="325" t="s">
        <v>1026</v>
      </c>
      <c r="D72" s="326">
        <v>100</v>
      </c>
      <c r="E72" s="481">
        <f>E69/D72</f>
        <v>1353.3808854402212</v>
      </c>
      <c r="F72" s="481"/>
      <c r="G72" s="481"/>
      <c r="H72" s="327"/>
      <c r="I72" s="328"/>
    </row>
    <row r="73" spans="1:14" ht="17.25" customHeight="1" x14ac:dyDescent="0.25">
      <c r="A73" s="280"/>
      <c r="B73" s="280"/>
      <c r="C73" s="280"/>
      <c r="D73" s="329"/>
      <c r="E73" s="266"/>
      <c r="F73" s="266"/>
      <c r="G73" s="266"/>
      <c r="H73" s="266"/>
    </row>
    <row r="74" spans="1:14" x14ac:dyDescent="0.25">
      <c r="A74" s="444"/>
      <c r="B74" s="444"/>
      <c r="C74" s="444"/>
      <c r="D74" s="444"/>
      <c r="E74" s="444"/>
      <c r="F74" s="444"/>
      <c r="G74" s="444"/>
      <c r="H74" s="280"/>
      <c r="J74" s="330"/>
      <c r="K74" s="330"/>
      <c r="L74" s="330"/>
    </row>
    <row r="75" spans="1:14" x14ac:dyDescent="0.25">
      <c r="A75" s="493"/>
      <c r="B75" s="493"/>
      <c r="C75" s="493"/>
      <c r="D75" s="493"/>
      <c r="E75" s="493"/>
      <c r="F75" s="493"/>
      <c r="G75" s="493"/>
      <c r="H75" s="493"/>
      <c r="I75" s="493"/>
      <c r="J75" s="330"/>
      <c r="K75" s="330"/>
      <c r="L75" s="330"/>
    </row>
    <row r="76" spans="1:14" x14ac:dyDescent="0.25">
      <c r="A76" s="494"/>
      <c r="B76" s="494"/>
      <c r="C76" s="494"/>
      <c r="D76" s="494"/>
      <c r="E76" s="494"/>
      <c r="F76" s="494"/>
      <c r="G76" s="494"/>
      <c r="H76" s="494"/>
      <c r="I76" s="494"/>
    </row>
    <row r="77" spans="1:14" x14ac:dyDescent="0.25">
      <c r="A77" s="331"/>
      <c r="B77" s="331"/>
      <c r="C77" s="331"/>
      <c r="D77" s="331"/>
      <c r="E77" s="331"/>
      <c r="F77" s="331"/>
      <c r="G77" s="331"/>
      <c r="H77" s="331"/>
      <c r="I77" s="331"/>
    </row>
    <row r="78" spans="1:14" x14ac:dyDescent="0.25">
      <c r="A78" s="332"/>
      <c r="B78" s="332"/>
      <c r="C78" s="332"/>
      <c r="D78" s="332"/>
      <c r="E78" s="332"/>
      <c r="F78" s="332"/>
      <c r="G78" s="332"/>
      <c r="H78" s="333"/>
      <c r="I78" s="334"/>
    </row>
    <row r="79" spans="1:14" x14ac:dyDescent="0.25">
      <c r="A79" s="495"/>
      <c r="B79" s="495"/>
      <c r="C79" s="495"/>
      <c r="D79" s="495"/>
      <c r="E79" s="495"/>
      <c r="F79" s="495"/>
      <c r="G79" s="495"/>
      <c r="H79" s="495"/>
      <c r="I79" s="495"/>
    </row>
    <row r="80" spans="1:14" x14ac:dyDescent="0.25">
      <c r="A80" s="496"/>
      <c r="B80" s="496"/>
      <c r="C80" s="496"/>
      <c r="D80" s="496"/>
      <c r="E80" s="496"/>
      <c r="F80" s="496"/>
      <c r="G80" s="496"/>
      <c r="H80" s="496"/>
      <c r="I80" s="496"/>
    </row>
    <row r="81" spans="1:9" x14ac:dyDescent="0.25">
      <c r="A81" s="497"/>
      <c r="B81" s="497"/>
      <c r="C81" s="497"/>
      <c r="D81" s="497"/>
      <c r="E81" s="497"/>
      <c r="F81" s="497"/>
      <c r="G81" s="497"/>
      <c r="H81" s="335"/>
      <c r="I81" s="336"/>
    </row>
    <row r="82" spans="1:9" x14ac:dyDescent="0.25">
      <c r="A82" s="491"/>
      <c r="B82" s="491"/>
      <c r="C82" s="491"/>
      <c r="D82" s="491"/>
      <c r="E82" s="491"/>
      <c r="F82" s="491"/>
      <c r="G82" s="491"/>
      <c r="H82" s="337"/>
    </row>
    <row r="83" spans="1:9" x14ac:dyDescent="0.25">
      <c r="B83" s="492"/>
      <c r="C83" s="492"/>
      <c r="D83" s="492"/>
      <c r="E83" s="492"/>
      <c r="F83" s="492"/>
    </row>
  </sheetData>
  <mergeCells count="82">
    <mergeCell ref="A82:G82"/>
    <mergeCell ref="B83:F83"/>
    <mergeCell ref="A74:G74"/>
    <mergeCell ref="A75:I75"/>
    <mergeCell ref="A76:I76"/>
    <mergeCell ref="A79:I79"/>
    <mergeCell ref="A80:I80"/>
    <mergeCell ref="A81:G81"/>
    <mergeCell ref="A72:B72"/>
    <mergeCell ref="E72:G72"/>
    <mergeCell ref="B66:D66"/>
    <mergeCell ref="E66:G66"/>
    <mergeCell ref="B67:D67"/>
    <mergeCell ref="E67:G67"/>
    <mergeCell ref="A68:D68"/>
    <mergeCell ref="E68:G68"/>
    <mergeCell ref="A69:D69"/>
    <mergeCell ref="E69:G69"/>
    <mergeCell ref="A70:G70"/>
    <mergeCell ref="A71:B71"/>
    <mergeCell ref="E71:G71"/>
    <mergeCell ref="B63:D63"/>
    <mergeCell ref="E63:G63"/>
    <mergeCell ref="B64:D64"/>
    <mergeCell ref="E64:G64"/>
    <mergeCell ref="B65:D65"/>
    <mergeCell ref="E65:G65"/>
    <mergeCell ref="A59:E59"/>
    <mergeCell ref="F59:G59"/>
    <mergeCell ref="A60:G60"/>
    <mergeCell ref="A61:G61"/>
    <mergeCell ref="B62:D62"/>
    <mergeCell ref="E62:G62"/>
    <mergeCell ref="F58:G58"/>
    <mergeCell ref="A51:E51"/>
    <mergeCell ref="F51:G51"/>
    <mergeCell ref="A52:G52"/>
    <mergeCell ref="A53:G53"/>
    <mergeCell ref="C54:D54"/>
    <mergeCell ref="E54:F54"/>
    <mergeCell ref="C55:D55"/>
    <mergeCell ref="E55:F55"/>
    <mergeCell ref="A56:B56"/>
    <mergeCell ref="F56:G56"/>
    <mergeCell ref="F57:G57"/>
    <mergeCell ref="F50:G50"/>
    <mergeCell ref="A40:G40"/>
    <mergeCell ref="A41:G41"/>
    <mergeCell ref="F42:G42"/>
    <mergeCell ref="F43:G43"/>
    <mergeCell ref="F44:G44"/>
    <mergeCell ref="F45:G45"/>
    <mergeCell ref="A46:E46"/>
    <mergeCell ref="F46:G46"/>
    <mergeCell ref="A47:G47"/>
    <mergeCell ref="A48:G48"/>
    <mergeCell ref="F49:G49"/>
    <mergeCell ref="A39:F39"/>
    <mergeCell ref="A32:F32"/>
    <mergeCell ref="C33:D33"/>
    <mergeCell ref="C34:D34"/>
    <mergeCell ref="C35:D35"/>
    <mergeCell ref="E35:F35"/>
    <mergeCell ref="C36:D36"/>
    <mergeCell ref="E36:G36"/>
    <mergeCell ref="C37:D37"/>
    <mergeCell ref="E37:F38"/>
    <mergeCell ref="G37:G38"/>
    <mergeCell ref="A38:B38"/>
    <mergeCell ref="C38:D38"/>
    <mergeCell ref="A27:G27"/>
    <mergeCell ref="A1:I1"/>
    <mergeCell ref="A2:I2"/>
    <mergeCell ref="A3:I3"/>
    <mergeCell ref="A4:I4"/>
    <mergeCell ref="A5:I5"/>
    <mergeCell ref="A6:I6"/>
    <mergeCell ref="B7:I7"/>
    <mergeCell ref="A8:I8"/>
    <mergeCell ref="A10:I10"/>
    <mergeCell ref="A25:E25"/>
    <mergeCell ref="A26:G26"/>
  </mergeCells>
  <pageMargins left="1.1023622047244095" right="0.11811023622047245" top="0.59055118110236227" bottom="0.15748031496062992" header="0.23622047244094491" footer="0.15748031496062992"/>
  <pageSetup paperSize="9" scale="8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5"/>
  <sheetViews>
    <sheetView showOutlineSymbols="0" showWhiteSpace="0" view="pageBreakPreview" topLeftCell="A46" zoomScaleNormal="100" zoomScaleSheetLayoutView="100" workbookViewId="0">
      <selection activeCell="H92" sqref="H92"/>
    </sheetView>
  </sheetViews>
  <sheetFormatPr defaultColWidth="9" defaultRowHeight="14.25" x14ac:dyDescent="0.2"/>
  <cols>
    <col min="1" max="1" width="6.25" style="3" bestFit="1" customWidth="1"/>
    <col min="2" max="2" width="11.375" style="2" customWidth="1"/>
    <col min="3" max="3" width="59.625" customWidth="1"/>
    <col min="4" max="4" width="5.875" style="18" bestFit="1" customWidth="1"/>
    <col min="5" max="5" width="8" style="121" bestFit="1" customWidth="1"/>
    <col min="6" max="6" width="9.875" style="18" bestFit="1" customWidth="1"/>
    <col min="7" max="7" width="8.875" style="18" bestFit="1" customWidth="1"/>
    <col min="8" max="8" width="9.875" style="18" bestFit="1" customWidth="1"/>
    <col min="9" max="9" width="10.25" style="18" bestFit="1" customWidth="1"/>
    <col min="10" max="10" width="14.875" hidden="1" customWidth="1"/>
    <col min="12" max="12" width="12.625" bestFit="1" customWidth="1"/>
  </cols>
  <sheetData>
    <row r="1" spans="1:12" ht="15" x14ac:dyDescent="0.25">
      <c r="C1" s="364" t="s">
        <v>767</v>
      </c>
      <c r="D1" s="364"/>
      <c r="E1" s="364"/>
      <c r="F1" s="364"/>
      <c r="G1" s="364"/>
      <c r="H1" s="364"/>
      <c r="I1" s="364"/>
    </row>
    <row r="2" spans="1:12" ht="15" x14ac:dyDescent="0.25">
      <c r="C2" s="364" t="s">
        <v>768</v>
      </c>
      <c r="D2" s="364"/>
      <c r="E2" s="364"/>
      <c r="F2" s="364"/>
      <c r="G2" s="364"/>
      <c r="H2" s="364"/>
      <c r="I2" s="364"/>
    </row>
    <row r="3" spans="1:12" ht="15.75" x14ac:dyDescent="0.2">
      <c r="A3" s="378" t="s">
        <v>769</v>
      </c>
      <c r="B3" s="378"/>
      <c r="C3" s="378"/>
      <c r="D3" s="378"/>
      <c r="E3" s="378"/>
      <c r="F3" s="378"/>
      <c r="G3" s="378"/>
      <c r="H3" s="378"/>
      <c r="I3" s="378"/>
      <c r="J3" s="71"/>
    </row>
    <row r="4" spans="1:12" ht="15" x14ac:dyDescent="0.2">
      <c r="A4" s="379" t="s">
        <v>1028</v>
      </c>
      <c r="B4" s="379"/>
      <c r="C4" s="379"/>
      <c r="D4" s="379"/>
      <c r="E4" s="379"/>
      <c r="F4" s="379"/>
      <c r="G4" s="379"/>
      <c r="H4" s="379"/>
      <c r="I4" s="379"/>
      <c r="J4" s="72"/>
    </row>
    <row r="5" spans="1:12" x14ac:dyDescent="0.2">
      <c r="A5" s="365" t="s">
        <v>1063</v>
      </c>
      <c r="B5" s="365"/>
      <c r="C5" s="365"/>
      <c r="D5" s="365"/>
      <c r="E5" s="365"/>
      <c r="F5" s="365"/>
      <c r="G5" s="365"/>
      <c r="H5" s="365"/>
      <c r="I5" s="365"/>
      <c r="J5" s="73"/>
    </row>
    <row r="6" spans="1:12" ht="15" thickBot="1" x14ac:dyDescent="0.25">
      <c r="A6" s="365" t="s">
        <v>817</v>
      </c>
      <c r="B6" s="365"/>
      <c r="C6" s="365"/>
      <c r="D6" s="365"/>
      <c r="E6" s="365"/>
      <c r="F6" s="365"/>
      <c r="G6" s="365"/>
      <c r="H6" s="365"/>
      <c r="I6" s="365"/>
      <c r="J6" s="73"/>
    </row>
    <row r="7" spans="1:12" ht="15" thickBot="1" x14ac:dyDescent="0.25">
      <c r="A7" s="366" t="s">
        <v>1272</v>
      </c>
      <c r="B7" s="367"/>
      <c r="C7" s="367"/>
      <c r="D7" s="367"/>
      <c r="E7" s="367"/>
      <c r="F7" s="367"/>
      <c r="G7" s="368"/>
      <c r="H7" s="369"/>
      <c r="I7" s="370"/>
      <c r="J7" s="73"/>
    </row>
    <row r="8" spans="1:12" x14ac:dyDescent="0.2">
      <c r="A8" s="374" t="s">
        <v>1273</v>
      </c>
      <c r="B8" s="375"/>
      <c r="C8" s="375"/>
      <c r="D8" s="375"/>
      <c r="E8" s="375"/>
      <c r="F8" s="375"/>
      <c r="G8" s="163" t="s">
        <v>1076</v>
      </c>
      <c r="H8" s="164"/>
      <c r="I8" s="122">
        <v>0.25030000000000002</v>
      </c>
      <c r="J8" s="73"/>
    </row>
    <row r="9" spans="1:12" ht="21.75" customHeight="1" x14ac:dyDescent="0.2">
      <c r="A9" s="376"/>
      <c r="B9" s="377"/>
      <c r="C9" s="377"/>
      <c r="D9" s="377"/>
      <c r="E9" s="377"/>
      <c r="F9" s="377"/>
      <c r="G9" s="353" t="s">
        <v>1090</v>
      </c>
      <c r="H9" s="354"/>
      <c r="I9" s="123" t="s">
        <v>1133</v>
      </c>
      <c r="J9" s="73"/>
    </row>
    <row r="10" spans="1:12" ht="15" thickBot="1" x14ac:dyDescent="0.25">
      <c r="A10" s="376"/>
      <c r="B10" s="377"/>
      <c r="C10" s="377"/>
      <c r="D10" s="377"/>
      <c r="E10" s="377"/>
      <c r="F10" s="377"/>
      <c r="G10" s="371" t="s">
        <v>1132</v>
      </c>
      <c r="H10" s="372"/>
      <c r="I10" s="373"/>
      <c r="J10" s="74"/>
    </row>
    <row r="11" spans="1:12" ht="25.5" x14ac:dyDescent="0.2">
      <c r="A11" s="57" t="s">
        <v>1025</v>
      </c>
      <c r="B11" s="58" t="s">
        <v>1029</v>
      </c>
      <c r="C11" s="58" t="s">
        <v>1030</v>
      </c>
      <c r="D11" s="146" t="s">
        <v>1026</v>
      </c>
      <c r="E11" s="162" t="s">
        <v>1027</v>
      </c>
      <c r="F11" s="146" t="s">
        <v>1119</v>
      </c>
      <c r="G11" s="58" t="s">
        <v>1075</v>
      </c>
      <c r="H11" s="146" t="s">
        <v>1120</v>
      </c>
      <c r="I11" s="147" t="s">
        <v>1121</v>
      </c>
    </row>
    <row r="12" spans="1:12" x14ac:dyDescent="0.2">
      <c r="A12" s="59" t="s">
        <v>0</v>
      </c>
      <c r="B12" s="60"/>
      <c r="C12" s="61" t="s">
        <v>1</v>
      </c>
      <c r="D12" s="61"/>
      <c r="E12" s="62"/>
      <c r="F12" s="143">
        <f>SUM(F13:F19)</f>
        <v>466.38</v>
      </c>
      <c r="G12" s="143">
        <f>SUM(G13:G19)</f>
        <v>4779.4399999999996</v>
      </c>
      <c r="H12" s="145">
        <f>SUM(H13:H19)</f>
        <v>583.08000000000004</v>
      </c>
      <c r="I12" s="129">
        <f>SUM(I13:I19)</f>
        <v>5975.7</v>
      </c>
      <c r="J12" s="75">
        <f>SUM(J13:J19)</f>
        <v>4779.4399999999996</v>
      </c>
      <c r="K12" s="189">
        <f>I12/$I$407</f>
        <v>3.531939965472609E-3</v>
      </c>
      <c r="L12" s="1"/>
    </row>
    <row r="13" spans="1:12" hidden="1" x14ac:dyDescent="0.2">
      <c r="A13" s="63" t="s">
        <v>2</v>
      </c>
      <c r="B13" s="124" t="s">
        <v>818</v>
      </c>
      <c r="C13" s="64" t="s">
        <v>3</v>
      </c>
      <c r="D13" s="125" t="s">
        <v>4</v>
      </c>
      <c r="E13" s="65">
        <f>112.64+57</f>
        <v>169.64</v>
      </c>
      <c r="F13" s="65">
        <v>1.34</v>
      </c>
      <c r="G13" s="65">
        <f>TRUNC(E13*F13,2)</f>
        <v>227.31</v>
      </c>
      <c r="H13" s="126">
        <f>TRUNC(F13*(1+I$8),2)</f>
        <v>1.67</v>
      </c>
      <c r="I13" s="126">
        <f>TRUNC(G13*(1+I$8),2)</f>
        <v>284.2</v>
      </c>
      <c r="J13" s="70">
        <f>TRUNC(E13 * F13, 2)</f>
        <v>227.31</v>
      </c>
      <c r="K13" s="189">
        <f t="shared" ref="K13:K19" si="0">I13/$I$12</f>
        <v>4.7559281757785697E-2</v>
      </c>
    </row>
    <row r="14" spans="1:12" ht="25.5" hidden="1" x14ac:dyDescent="0.2">
      <c r="A14" s="63" t="s">
        <v>1091</v>
      </c>
      <c r="B14" s="124" t="s">
        <v>819</v>
      </c>
      <c r="C14" s="64" t="s">
        <v>5</v>
      </c>
      <c r="D14" s="125" t="s">
        <v>168</v>
      </c>
      <c r="E14" s="65">
        <f>7+4</f>
        <v>11</v>
      </c>
      <c r="F14" s="65">
        <v>53.92</v>
      </c>
      <c r="G14" s="65">
        <f t="shared" ref="G14:G45" si="1">TRUNC(E14*F14,2)</f>
        <v>593.12</v>
      </c>
      <c r="H14" s="126">
        <f t="shared" ref="H14:H77" si="2">TRUNC(F14*(1+I$8),2)</f>
        <v>67.41</v>
      </c>
      <c r="I14" s="126">
        <f t="shared" ref="I14:I45" si="3">TRUNC(G14*(1+I$8),2)</f>
        <v>741.57</v>
      </c>
      <c r="J14" s="70">
        <f t="shared" ref="J14:J19" si="4">TRUNC(E14 * F14, 2)</f>
        <v>593.12</v>
      </c>
      <c r="K14" s="189">
        <f t="shared" si="0"/>
        <v>0.12409759526080628</v>
      </c>
    </row>
    <row r="15" spans="1:12" ht="25.5" hidden="1" x14ac:dyDescent="0.2">
      <c r="A15" s="63" t="s">
        <v>1092</v>
      </c>
      <c r="B15" s="124" t="s">
        <v>820</v>
      </c>
      <c r="C15" s="64" t="s">
        <v>6</v>
      </c>
      <c r="D15" s="125" t="s">
        <v>168</v>
      </c>
      <c r="E15" s="65">
        <f>4+2</f>
        <v>6</v>
      </c>
      <c r="F15" s="65">
        <v>96.06</v>
      </c>
      <c r="G15" s="65">
        <f t="shared" si="1"/>
        <v>576.36</v>
      </c>
      <c r="H15" s="126">
        <f t="shared" si="2"/>
        <v>120.1</v>
      </c>
      <c r="I15" s="126">
        <f t="shared" si="3"/>
        <v>720.62</v>
      </c>
      <c r="J15" s="70">
        <f t="shared" si="4"/>
        <v>576.36</v>
      </c>
      <c r="K15" s="189">
        <f t="shared" si="0"/>
        <v>0.12059172983918202</v>
      </c>
    </row>
    <row r="16" spans="1:12" ht="25.5" hidden="1" x14ac:dyDescent="0.2">
      <c r="A16" s="63" t="s">
        <v>1093</v>
      </c>
      <c r="B16" s="124" t="s">
        <v>821</v>
      </c>
      <c r="C16" s="64" t="s">
        <v>7</v>
      </c>
      <c r="D16" s="125" t="s">
        <v>168</v>
      </c>
      <c r="E16" s="65">
        <f>3+1</f>
        <v>4</v>
      </c>
      <c r="F16" s="168">
        <v>238.24</v>
      </c>
      <c r="G16" s="65">
        <f t="shared" si="1"/>
        <v>952.96</v>
      </c>
      <c r="H16" s="126">
        <f t="shared" si="2"/>
        <v>297.87</v>
      </c>
      <c r="I16" s="126">
        <f t="shared" si="3"/>
        <v>1191.48</v>
      </c>
      <c r="J16" s="70">
        <f t="shared" si="4"/>
        <v>952.96</v>
      </c>
      <c r="K16" s="189">
        <f t="shared" si="0"/>
        <v>0.19938751945378785</v>
      </c>
    </row>
    <row r="17" spans="1:12" hidden="1" x14ac:dyDescent="0.2">
      <c r="A17" s="63" t="s">
        <v>1094</v>
      </c>
      <c r="B17" s="124" t="s">
        <v>822</v>
      </c>
      <c r="C17" s="64" t="s">
        <v>8</v>
      </c>
      <c r="D17" s="125" t="s">
        <v>9</v>
      </c>
      <c r="E17" s="65">
        <f>83.6+40</f>
        <v>123.6</v>
      </c>
      <c r="F17" s="65">
        <v>4.3899999999999997</v>
      </c>
      <c r="G17" s="65">
        <f t="shared" si="1"/>
        <v>542.6</v>
      </c>
      <c r="H17" s="126">
        <f t="shared" si="2"/>
        <v>5.48</v>
      </c>
      <c r="I17" s="126">
        <f t="shared" si="3"/>
        <v>678.41</v>
      </c>
      <c r="J17" s="70">
        <f t="shared" si="4"/>
        <v>542.6</v>
      </c>
      <c r="K17" s="189">
        <f t="shared" si="0"/>
        <v>0.11352812222835819</v>
      </c>
    </row>
    <row r="18" spans="1:12" ht="25.5" hidden="1" x14ac:dyDescent="0.2">
      <c r="A18" s="63" t="s">
        <v>1095</v>
      </c>
      <c r="B18" s="124" t="s">
        <v>823</v>
      </c>
      <c r="C18" s="64" t="s">
        <v>1077</v>
      </c>
      <c r="D18" s="125" t="s">
        <v>1052</v>
      </c>
      <c r="E18" s="65">
        <f>41+40</f>
        <v>81</v>
      </c>
      <c r="F18" s="65">
        <v>2.61</v>
      </c>
      <c r="G18" s="65">
        <f t="shared" si="1"/>
        <v>211.41</v>
      </c>
      <c r="H18" s="126">
        <f t="shared" si="2"/>
        <v>3.26</v>
      </c>
      <c r="I18" s="126">
        <f t="shared" si="3"/>
        <v>264.32</v>
      </c>
      <c r="J18" s="70">
        <f t="shared" si="4"/>
        <v>211.41</v>
      </c>
      <c r="K18" s="189">
        <f t="shared" si="0"/>
        <v>4.4232474856502169E-2</v>
      </c>
    </row>
    <row r="19" spans="1:12" ht="25.5" hidden="1" x14ac:dyDescent="0.2">
      <c r="A19" s="63" t="s">
        <v>1096</v>
      </c>
      <c r="B19" s="124" t="s">
        <v>824</v>
      </c>
      <c r="C19" s="64" t="s">
        <v>10</v>
      </c>
      <c r="D19" s="125" t="s">
        <v>9</v>
      </c>
      <c r="E19" s="65">
        <f>10+14</f>
        <v>24</v>
      </c>
      <c r="F19" s="65">
        <v>69.819999999999993</v>
      </c>
      <c r="G19" s="65">
        <f t="shared" si="1"/>
        <v>1675.68</v>
      </c>
      <c r="H19" s="126">
        <f t="shared" si="2"/>
        <v>87.29</v>
      </c>
      <c r="I19" s="126">
        <f t="shared" si="3"/>
        <v>2095.1</v>
      </c>
      <c r="J19" s="70">
        <f t="shared" si="4"/>
        <v>1675.68</v>
      </c>
      <c r="K19" s="189">
        <f t="shared" si="0"/>
        <v>0.35060327660357782</v>
      </c>
    </row>
    <row r="20" spans="1:12" x14ac:dyDescent="0.2">
      <c r="A20" s="127" t="s">
        <v>11</v>
      </c>
      <c r="B20" s="128"/>
      <c r="C20" s="66" t="s">
        <v>12</v>
      </c>
      <c r="D20" s="66"/>
      <c r="E20" s="141"/>
      <c r="F20" s="143">
        <f>SUM(F21:F45)</f>
        <v>382.24999999999989</v>
      </c>
      <c r="G20" s="143">
        <f>SUM(G21:G45)</f>
        <v>51352.490000000005</v>
      </c>
      <c r="H20" s="129">
        <f>SUM(H21:H45)</f>
        <v>477.79</v>
      </c>
      <c r="I20" s="129">
        <f>SUM(I21:I45)</f>
        <v>64205.880000000005</v>
      </c>
      <c r="J20" s="75">
        <f>SUM(J21:J45)</f>
        <v>51352.490000000005</v>
      </c>
      <c r="K20" s="189">
        <f>I20/$I$407</f>
        <v>3.7948912025426058E-2</v>
      </c>
      <c r="L20" s="1"/>
    </row>
    <row r="21" spans="1:12" ht="24" hidden="1" x14ac:dyDescent="0.2">
      <c r="A21" s="63" t="s">
        <v>13</v>
      </c>
      <c r="B21" s="124" t="s">
        <v>14</v>
      </c>
      <c r="C21" s="64" t="s">
        <v>15</v>
      </c>
      <c r="D21" s="125" t="s">
        <v>9</v>
      </c>
      <c r="E21" s="65">
        <f>27.5+13</f>
        <v>40.5</v>
      </c>
      <c r="F21" s="65">
        <v>113.32</v>
      </c>
      <c r="G21" s="65">
        <f t="shared" si="1"/>
        <v>4589.46</v>
      </c>
      <c r="H21" s="126">
        <f t="shared" si="2"/>
        <v>141.68</v>
      </c>
      <c r="I21" s="126">
        <f t="shared" si="3"/>
        <v>5738.2</v>
      </c>
      <c r="J21" s="70">
        <f>TRUNC(E21 * F21, 2)</f>
        <v>4589.46</v>
      </c>
      <c r="K21" s="189">
        <f t="shared" ref="K21:K49" si="5">I21/$I$20</f>
        <v>8.9371876843678477E-2</v>
      </c>
    </row>
    <row r="22" spans="1:12" ht="25.5" hidden="1" x14ac:dyDescent="0.2">
      <c r="A22" s="63" t="s">
        <v>16</v>
      </c>
      <c r="B22" s="124" t="s">
        <v>825</v>
      </c>
      <c r="C22" s="64" t="s">
        <v>17</v>
      </c>
      <c r="D22" s="125" t="s">
        <v>9</v>
      </c>
      <c r="E22" s="65">
        <f>12.32+7</f>
        <v>19.32</v>
      </c>
      <c r="F22" s="65">
        <v>45.48</v>
      </c>
      <c r="G22" s="65">
        <f t="shared" si="1"/>
        <v>878.67</v>
      </c>
      <c r="H22" s="126">
        <f t="shared" si="2"/>
        <v>56.86</v>
      </c>
      <c r="I22" s="126">
        <f t="shared" si="3"/>
        <v>1098.5999999999999</v>
      </c>
      <c r="J22" s="70">
        <f t="shared" ref="J22:J45" si="6">TRUNC(E22 * F22, 2)</f>
        <v>878.67</v>
      </c>
      <c r="K22" s="189">
        <f t="shared" si="5"/>
        <v>1.7110582395257253E-2</v>
      </c>
    </row>
    <row r="23" spans="1:12" ht="25.5" hidden="1" x14ac:dyDescent="0.2">
      <c r="A23" s="63" t="s">
        <v>18</v>
      </c>
      <c r="B23" s="124" t="s">
        <v>826</v>
      </c>
      <c r="C23" s="64" t="s">
        <v>1078</v>
      </c>
      <c r="D23" s="125" t="s">
        <v>9</v>
      </c>
      <c r="E23" s="65">
        <f>12.32+7</f>
        <v>19.32</v>
      </c>
      <c r="F23" s="65">
        <v>46.18</v>
      </c>
      <c r="G23" s="65">
        <f t="shared" si="1"/>
        <v>892.19</v>
      </c>
      <c r="H23" s="126">
        <f t="shared" si="2"/>
        <v>57.73</v>
      </c>
      <c r="I23" s="126">
        <f t="shared" si="3"/>
        <v>1115.5</v>
      </c>
      <c r="J23" s="70">
        <f t="shared" si="6"/>
        <v>892.19</v>
      </c>
      <c r="K23" s="189">
        <f t="shared" si="5"/>
        <v>1.7373798163034287E-2</v>
      </c>
    </row>
    <row r="24" spans="1:12" ht="25.5" hidden="1" x14ac:dyDescent="0.2">
      <c r="A24" s="63" t="s">
        <v>19</v>
      </c>
      <c r="B24" s="124" t="s">
        <v>20</v>
      </c>
      <c r="C24" s="64" t="s">
        <v>21</v>
      </c>
      <c r="D24" s="125" t="s">
        <v>4</v>
      </c>
      <c r="E24" s="65">
        <f>76.95+40</f>
        <v>116.95</v>
      </c>
      <c r="F24" s="65">
        <v>9.06</v>
      </c>
      <c r="G24" s="65">
        <f t="shared" si="1"/>
        <v>1059.56</v>
      </c>
      <c r="H24" s="126">
        <f t="shared" si="2"/>
        <v>11.32</v>
      </c>
      <c r="I24" s="126">
        <f t="shared" si="3"/>
        <v>1324.76</v>
      </c>
      <c r="J24" s="70">
        <f t="shared" si="6"/>
        <v>1059.56</v>
      </c>
      <c r="K24" s="189">
        <f t="shared" si="5"/>
        <v>2.0633001214219009E-2</v>
      </c>
    </row>
    <row r="25" spans="1:12" ht="25.5" hidden="1" x14ac:dyDescent="0.2">
      <c r="A25" s="63" t="s">
        <v>22</v>
      </c>
      <c r="B25" s="124" t="s">
        <v>827</v>
      </c>
      <c r="C25" s="64" t="s">
        <v>23</v>
      </c>
      <c r="D25" s="125" t="s">
        <v>4</v>
      </c>
      <c r="E25" s="65">
        <f>61.55+35</f>
        <v>96.55</v>
      </c>
      <c r="F25" s="65">
        <v>2.67</v>
      </c>
      <c r="G25" s="65">
        <f t="shared" si="1"/>
        <v>257.77999999999997</v>
      </c>
      <c r="H25" s="126">
        <f t="shared" si="2"/>
        <v>3.33</v>
      </c>
      <c r="I25" s="126">
        <f t="shared" si="3"/>
        <v>322.3</v>
      </c>
      <c r="J25" s="70">
        <f t="shared" si="6"/>
        <v>257.77999999999997</v>
      </c>
      <c r="K25" s="189">
        <f t="shared" si="5"/>
        <v>5.0197894647655318E-3</v>
      </c>
    </row>
    <row r="26" spans="1:12" ht="25.5" hidden="1" x14ac:dyDescent="0.2">
      <c r="A26" s="63" t="s">
        <v>24</v>
      </c>
      <c r="B26" s="124" t="s">
        <v>828</v>
      </c>
      <c r="C26" s="64" t="s">
        <v>1079</v>
      </c>
      <c r="D26" s="125" t="s">
        <v>4</v>
      </c>
      <c r="E26" s="65">
        <f>46.15+25</f>
        <v>71.150000000000006</v>
      </c>
      <c r="F26" s="65">
        <v>9.7899999999999991</v>
      </c>
      <c r="G26" s="65">
        <f t="shared" si="1"/>
        <v>696.55</v>
      </c>
      <c r="H26" s="126">
        <f t="shared" si="2"/>
        <v>12.24</v>
      </c>
      <c r="I26" s="126">
        <f t="shared" si="3"/>
        <v>870.89</v>
      </c>
      <c r="J26" s="70">
        <f t="shared" si="6"/>
        <v>696.55</v>
      </c>
      <c r="K26" s="189">
        <f t="shared" si="5"/>
        <v>1.3564022485168024E-2</v>
      </c>
    </row>
    <row r="27" spans="1:12" ht="25.5" hidden="1" x14ac:dyDescent="0.2">
      <c r="A27" s="63" t="s">
        <v>25</v>
      </c>
      <c r="B27" s="124" t="s">
        <v>829</v>
      </c>
      <c r="C27" s="64" t="s">
        <v>26</v>
      </c>
      <c r="D27" s="125" t="s">
        <v>4</v>
      </c>
      <c r="E27" s="65">
        <f>92.35+50</f>
        <v>142.35</v>
      </c>
      <c r="F27" s="65">
        <v>13.01</v>
      </c>
      <c r="G27" s="65">
        <f t="shared" si="1"/>
        <v>1851.97</v>
      </c>
      <c r="H27" s="126">
        <f t="shared" si="2"/>
        <v>16.260000000000002</v>
      </c>
      <c r="I27" s="126">
        <f t="shared" si="3"/>
        <v>2315.5100000000002</v>
      </c>
      <c r="J27" s="70">
        <f t="shared" si="6"/>
        <v>1851.97</v>
      </c>
      <c r="K27" s="189">
        <f t="shared" si="5"/>
        <v>3.6063830913928757E-2</v>
      </c>
    </row>
    <row r="28" spans="1:12" ht="24" hidden="1" x14ac:dyDescent="0.2">
      <c r="A28" s="63" t="s">
        <v>27</v>
      </c>
      <c r="B28" s="124" t="s">
        <v>28</v>
      </c>
      <c r="C28" s="64" t="s">
        <v>29</v>
      </c>
      <c r="D28" s="125" t="s">
        <v>30</v>
      </c>
      <c r="E28" s="65">
        <f>1484.45+780</f>
        <v>2264.4499999999998</v>
      </c>
      <c r="F28" s="65">
        <v>0.96</v>
      </c>
      <c r="G28" s="65">
        <f t="shared" si="1"/>
        <v>2173.87</v>
      </c>
      <c r="H28" s="126">
        <f t="shared" si="2"/>
        <v>1.2</v>
      </c>
      <c r="I28" s="126">
        <f t="shared" si="3"/>
        <v>2717.98</v>
      </c>
      <c r="J28" s="70">
        <f t="shared" si="6"/>
        <v>2173.87</v>
      </c>
      <c r="K28" s="189">
        <f t="shared" si="5"/>
        <v>4.2332259911397517E-2</v>
      </c>
    </row>
    <row r="29" spans="1:12" ht="25.5" hidden="1" x14ac:dyDescent="0.2">
      <c r="A29" s="63" t="s">
        <v>31</v>
      </c>
      <c r="B29" s="124" t="s">
        <v>830</v>
      </c>
      <c r="C29" s="64" t="s">
        <v>1080</v>
      </c>
      <c r="D29" s="125" t="s">
        <v>4</v>
      </c>
      <c r="E29" s="65">
        <f>923.34+470</f>
        <v>1393.3400000000001</v>
      </c>
      <c r="F29" s="65">
        <v>2.76</v>
      </c>
      <c r="G29" s="65">
        <f t="shared" si="1"/>
        <v>3845.61</v>
      </c>
      <c r="H29" s="126">
        <f t="shared" si="2"/>
        <v>3.45</v>
      </c>
      <c r="I29" s="126">
        <f t="shared" si="3"/>
        <v>4808.16</v>
      </c>
      <c r="J29" s="70">
        <f t="shared" si="6"/>
        <v>3845.61</v>
      </c>
      <c r="K29" s="189">
        <f t="shared" si="5"/>
        <v>7.4886599171290841E-2</v>
      </c>
    </row>
    <row r="30" spans="1:12" ht="25.5" hidden="1" x14ac:dyDescent="0.2">
      <c r="A30" s="63" t="s">
        <v>32</v>
      </c>
      <c r="B30" s="124" t="s">
        <v>831</v>
      </c>
      <c r="C30" s="64" t="s">
        <v>1081</v>
      </c>
      <c r="D30" s="125" t="s">
        <v>4</v>
      </c>
      <c r="E30" s="65">
        <f>461.65+235</f>
        <v>696.65</v>
      </c>
      <c r="F30" s="65">
        <v>5.95</v>
      </c>
      <c r="G30" s="65">
        <f t="shared" si="1"/>
        <v>4145.0600000000004</v>
      </c>
      <c r="H30" s="126">
        <f t="shared" si="2"/>
        <v>7.43</v>
      </c>
      <c r="I30" s="126">
        <f t="shared" si="3"/>
        <v>5182.5600000000004</v>
      </c>
      <c r="J30" s="70">
        <f t="shared" si="6"/>
        <v>4145.0600000000004</v>
      </c>
      <c r="K30" s="189">
        <f t="shared" si="5"/>
        <v>8.0717840795889728E-2</v>
      </c>
    </row>
    <row r="31" spans="1:12" ht="24" hidden="1" x14ac:dyDescent="0.2">
      <c r="A31" s="63" t="s">
        <v>33</v>
      </c>
      <c r="B31" s="124" t="s">
        <v>34</v>
      </c>
      <c r="C31" s="64" t="s">
        <v>35</v>
      </c>
      <c r="D31" s="125" t="s">
        <v>4</v>
      </c>
      <c r="E31" s="65">
        <f>153.9+80</f>
        <v>233.9</v>
      </c>
      <c r="F31" s="65">
        <v>14.18</v>
      </c>
      <c r="G31" s="65">
        <f t="shared" si="1"/>
        <v>3316.7</v>
      </c>
      <c r="H31" s="126">
        <f t="shared" si="2"/>
        <v>17.72</v>
      </c>
      <c r="I31" s="126">
        <f t="shared" si="3"/>
        <v>4146.87</v>
      </c>
      <c r="J31" s="70">
        <f t="shared" si="6"/>
        <v>3316.7</v>
      </c>
      <c r="K31" s="189">
        <f t="shared" si="5"/>
        <v>6.4587075202458086E-2</v>
      </c>
    </row>
    <row r="32" spans="1:12" hidden="1" x14ac:dyDescent="0.2">
      <c r="A32" s="63" t="s">
        <v>36</v>
      </c>
      <c r="B32" s="124" t="s">
        <v>832</v>
      </c>
      <c r="C32" s="64" t="s">
        <v>37</v>
      </c>
      <c r="D32" s="125" t="s">
        <v>4</v>
      </c>
      <c r="E32" s="65">
        <f>92.35+47.25</f>
        <v>139.6</v>
      </c>
      <c r="F32" s="65">
        <v>7.45</v>
      </c>
      <c r="G32" s="65">
        <f t="shared" si="1"/>
        <v>1040.02</v>
      </c>
      <c r="H32" s="126">
        <f t="shared" si="2"/>
        <v>9.31</v>
      </c>
      <c r="I32" s="126">
        <f t="shared" si="3"/>
        <v>1300.33</v>
      </c>
      <c r="J32" s="70">
        <f t="shared" si="6"/>
        <v>1040.02</v>
      </c>
      <c r="K32" s="189">
        <f t="shared" si="5"/>
        <v>2.0252506468254931E-2</v>
      </c>
    </row>
    <row r="33" spans="1:11" ht="25.5" hidden="1" x14ac:dyDescent="0.2">
      <c r="A33" s="63" t="s">
        <v>38</v>
      </c>
      <c r="B33" s="124" t="s">
        <v>39</v>
      </c>
      <c r="C33" s="64" t="s">
        <v>40</v>
      </c>
      <c r="D33" s="125" t="s">
        <v>4</v>
      </c>
      <c r="E33" s="65">
        <f>21.55+11</f>
        <v>32.549999999999997</v>
      </c>
      <c r="F33" s="65">
        <v>19.940000000000001</v>
      </c>
      <c r="G33" s="65">
        <f t="shared" si="1"/>
        <v>649.04</v>
      </c>
      <c r="H33" s="126">
        <f t="shared" si="2"/>
        <v>24.93</v>
      </c>
      <c r="I33" s="126">
        <f t="shared" si="3"/>
        <v>811.49</v>
      </c>
      <c r="J33" s="70">
        <f t="shared" si="6"/>
        <v>649.04</v>
      </c>
      <c r="K33" s="189">
        <f t="shared" si="5"/>
        <v>1.2638873573573012E-2</v>
      </c>
    </row>
    <row r="34" spans="1:11" ht="24" hidden="1" x14ac:dyDescent="0.2">
      <c r="A34" s="63" t="s">
        <v>41</v>
      </c>
      <c r="B34" s="124" t="s">
        <v>42</v>
      </c>
      <c r="C34" s="64" t="s">
        <v>43</v>
      </c>
      <c r="D34" s="125" t="s">
        <v>4</v>
      </c>
      <c r="E34" s="65">
        <f>30.8+16</f>
        <v>46.8</v>
      </c>
      <c r="F34" s="65">
        <v>7.59</v>
      </c>
      <c r="G34" s="65">
        <f t="shared" si="1"/>
        <v>355.21</v>
      </c>
      <c r="H34" s="126">
        <f t="shared" si="2"/>
        <v>9.48</v>
      </c>
      <c r="I34" s="126">
        <f t="shared" si="3"/>
        <v>444.11</v>
      </c>
      <c r="J34" s="70">
        <f t="shared" si="6"/>
        <v>355.21</v>
      </c>
      <c r="K34" s="189">
        <f t="shared" si="5"/>
        <v>6.9169677294353719E-3</v>
      </c>
    </row>
    <row r="35" spans="1:11" ht="25.5" hidden="1" x14ac:dyDescent="0.2">
      <c r="A35" s="63" t="s">
        <v>44</v>
      </c>
      <c r="B35" s="124" t="s">
        <v>833</v>
      </c>
      <c r="C35" s="64" t="s">
        <v>1082</v>
      </c>
      <c r="D35" s="125" t="s">
        <v>168</v>
      </c>
      <c r="E35" s="65">
        <f>247+125</f>
        <v>372</v>
      </c>
      <c r="F35" s="65">
        <v>0.55000000000000004</v>
      </c>
      <c r="G35" s="65">
        <f t="shared" si="1"/>
        <v>204.6</v>
      </c>
      <c r="H35" s="126">
        <f t="shared" si="2"/>
        <v>0.68</v>
      </c>
      <c r="I35" s="126">
        <f t="shared" si="3"/>
        <v>255.81</v>
      </c>
      <c r="J35" s="70">
        <f t="shared" si="6"/>
        <v>204.6</v>
      </c>
      <c r="K35" s="189">
        <f t="shared" si="5"/>
        <v>3.9842145298841789E-3</v>
      </c>
    </row>
    <row r="36" spans="1:11" hidden="1" x14ac:dyDescent="0.2">
      <c r="A36" s="63" t="s">
        <v>45</v>
      </c>
      <c r="B36" s="124" t="s">
        <v>834</v>
      </c>
      <c r="C36" s="64" t="s">
        <v>46</v>
      </c>
      <c r="D36" s="125" t="s">
        <v>168</v>
      </c>
      <c r="E36" s="65">
        <f>247+125</f>
        <v>372</v>
      </c>
      <c r="F36" s="65">
        <v>1.06</v>
      </c>
      <c r="G36" s="65">
        <f t="shared" si="1"/>
        <v>394.32</v>
      </c>
      <c r="H36" s="126">
        <f t="shared" si="2"/>
        <v>1.32</v>
      </c>
      <c r="I36" s="126">
        <f t="shared" si="3"/>
        <v>493.01</v>
      </c>
      <c r="J36" s="70">
        <f t="shared" si="6"/>
        <v>394.32</v>
      </c>
      <c r="K36" s="189">
        <f t="shared" si="5"/>
        <v>7.6785802172635899E-3</v>
      </c>
    </row>
    <row r="37" spans="1:11" ht="25.5" hidden="1" x14ac:dyDescent="0.2">
      <c r="A37" s="63" t="s">
        <v>47</v>
      </c>
      <c r="B37" s="124" t="s">
        <v>835</v>
      </c>
      <c r="C37" s="64" t="s">
        <v>1083</v>
      </c>
      <c r="D37" s="125" t="s">
        <v>267</v>
      </c>
      <c r="E37" s="65">
        <f>78+40</f>
        <v>118</v>
      </c>
      <c r="F37" s="65">
        <v>0.39</v>
      </c>
      <c r="G37" s="65">
        <f t="shared" si="1"/>
        <v>46.02</v>
      </c>
      <c r="H37" s="126">
        <f t="shared" si="2"/>
        <v>0.48</v>
      </c>
      <c r="I37" s="126">
        <f t="shared" si="3"/>
        <v>57.53</v>
      </c>
      <c r="J37" s="70">
        <f t="shared" si="6"/>
        <v>46.02</v>
      </c>
      <c r="K37" s="189">
        <f t="shared" si="5"/>
        <v>8.9602385326702162E-4</v>
      </c>
    </row>
    <row r="38" spans="1:11" hidden="1" x14ac:dyDescent="0.2">
      <c r="A38" s="63" t="s">
        <v>48</v>
      </c>
      <c r="B38" s="124" t="s">
        <v>836</v>
      </c>
      <c r="C38" s="64" t="s">
        <v>49</v>
      </c>
      <c r="D38" s="125" t="s">
        <v>168</v>
      </c>
      <c r="E38" s="65">
        <f>31+16</f>
        <v>47</v>
      </c>
      <c r="F38" s="65">
        <v>9.81</v>
      </c>
      <c r="G38" s="65">
        <f t="shared" si="1"/>
        <v>461.07</v>
      </c>
      <c r="H38" s="126">
        <f t="shared" si="2"/>
        <v>12.26</v>
      </c>
      <c r="I38" s="126">
        <f t="shared" si="3"/>
        <v>576.47</v>
      </c>
      <c r="J38" s="70">
        <f t="shared" si="6"/>
        <v>461.07</v>
      </c>
      <c r="K38" s="189">
        <f t="shared" si="5"/>
        <v>8.9784611627470885E-3</v>
      </c>
    </row>
    <row r="39" spans="1:11" hidden="1" x14ac:dyDescent="0.2">
      <c r="A39" s="63" t="s">
        <v>50</v>
      </c>
      <c r="B39" s="124" t="s">
        <v>837</v>
      </c>
      <c r="C39" s="64" t="s">
        <v>51</v>
      </c>
      <c r="D39" s="125" t="s">
        <v>168</v>
      </c>
      <c r="E39" s="65">
        <f>16+8</f>
        <v>24</v>
      </c>
      <c r="F39" s="65">
        <v>1.21</v>
      </c>
      <c r="G39" s="65">
        <f t="shared" si="1"/>
        <v>29.04</v>
      </c>
      <c r="H39" s="126">
        <f t="shared" si="2"/>
        <v>1.51</v>
      </c>
      <c r="I39" s="126">
        <f t="shared" si="3"/>
        <v>36.299999999999997</v>
      </c>
      <c r="J39" s="70">
        <f t="shared" si="6"/>
        <v>29.04</v>
      </c>
      <c r="K39" s="189">
        <f t="shared" si="5"/>
        <v>5.653687793080633E-4</v>
      </c>
    </row>
    <row r="40" spans="1:11" ht="25.5" hidden="1" x14ac:dyDescent="0.2">
      <c r="A40" s="63" t="s">
        <v>52</v>
      </c>
      <c r="B40" s="124" t="s">
        <v>838</v>
      </c>
      <c r="C40" s="64" t="s">
        <v>53</v>
      </c>
      <c r="D40" s="125" t="s">
        <v>168</v>
      </c>
      <c r="E40" s="65">
        <f>77+40</f>
        <v>117</v>
      </c>
      <c r="F40" s="65">
        <v>7.15</v>
      </c>
      <c r="G40" s="65">
        <f t="shared" si="1"/>
        <v>836.55</v>
      </c>
      <c r="H40" s="126">
        <f t="shared" si="2"/>
        <v>8.93</v>
      </c>
      <c r="I40" s="126">
        <f t="shared" si="3"/>
        <v>1045.93</v>
      </c>
      <c r="J40" s="70">
        <f t="shared" si="6"/>
        <v>836.55</v>
      </c>
      <c r="K40" s="189">
        <f t="shared" si="5"/>
        <v>1.629025254384801E-2</v>
      </c>
    </row>
    <row r="41" spans="1:11" ht="25.5" hidden="1" x14ac:dyDescent="0.2">
      <c r="A41" s="63" t="s">
        <v>54</v>
      </c>
      <c r="B41" s="124" t="s">
        <v>839</v>
      </c>
      <c r="C41" s="64" t="s">
        <v>1084</v>
      </c>
      <c r="D41" s="125" t="s">
        <v>4</v>
      </c>
      <c r="E41" s="65">
        <f>153.9+80</f>
        <v>233.9</v>
      </c>
      <c r="F41" s="65">
        <v>1.31</v>
      </c>
      <c r="G41" s="65">
        <f t="shared" si="1"/>
        <v>306.39999999999998</v>
      </c>
      <c r="H41" s="126">
        <f t="shared" si="2"/>
        <v>1.63</v>
      </c>
      <c r="I41" s="126">
        <f t="shared" si="3"/>
        <v>383.09</v>
      </c>
      <c r="J41" s="70">
        <f t="shared" si="6"/>
        <v>306.39999999999998</v>
      </c>
      <c r="K41" s="189">
        <f t="shared" si="5"/>
        <v>5.9665874838877673E-3</v>
      </c>
    </row>
    <row r="42" spans="1:11" ht="24" hidden="1" x14ac:dyDescent="0.2">
      <c r="A42" s="63" t="s">
        <v>55</v>
      </c>
      <c r="B42" s="124" t="s">
        <v>56</v>
      </c>
      <c r="C42" s="64" t="s">
        <v>57</v>
      </c>
      <c r="D42" s="125" t="s">
        <v>4</v>
      </c>
      <c r="E42" s="65">
        <f>61.55+35</f>
        <v>96.55</v>
      </c>
      <c r="F42" s="65">
        <v>8.67</v>
      </c>
      <c r="G42" s="65">
        <f t="shared" si="1"/>
        <v>837.08</v>
      </c>
      <c r="H42" s="126">
        <f t="shared" si="2"/>
        <v>10.84</v>
      </c>
      <c r="I42" s="126">
        <f t="shared" si="3"/>
        <v>1046.5999999999999</v>
      </c>
      <c r="J42" s="70">
        <f t="shared" si="6"/>
        <v>837.08</v>
      </c>
      <c r="K42" s="189">
        <f t="shared" si="5"/>
        <v>1.6300687725174078E-2</v>
      </c>
    </row>
    <row r="43" spans="1:11" ht="25.5" hidden="1" x14ac:dyDescent="0.2">
      <c r="A43" s="63" t="s">
        <v>58</v>
      </c>
      <c r="B43" s="124" t="s">
        <v>840</v>
      </c>
      <c r="C43" s="64" t="s">
        <v>59</v>
      </c>
      <c r="D43" s="125" t="s">
        <v>4</v>
      </c>
      <c r="E43" s="65">
        <f>15.4+10</f>
        <v>25.4</v>
      </c>
      <c r="F43" s="65">
        <v>4.0199999999999996</v>
      </c>
      <c r="G43" s="65">
        <f t="shared" si="1"/>
        <v>102.1</v>
      </c>
      <c r="H43" s="126">
        <f t="shared" si="2"/>
        <v>5.0199999999999996</v>
      </c>
      <c r="I43" s="126">
        <f t="shared" si="3"/>
        <v>127.65</v>
      </c>
      <c r="J43" s="70">
        <f t="shared" si="6"/>
        <v>102.1</v>
      </c>
      <c r="K43" s="189">
        <f t="shared" si="5"/>
        <v>1.9881356660791816E-3</v>
      </c>
    </row>
    <row r="44" spans="1:11" ht="24" hidden="1" x14ac:dyDescent="0.2">
      <c r="A44" s="63" t="s">
        <v>60</v>
      </c>
      <c r="B44" s="124" t="s">
        <v>61</v>
      </c>
      <c r="C44" s="64" t="s">
        <v>62</v>
      </c>
      <c r="D44" s="125" t="s">
        <v>4</v>
      </c>
      <c r="E44" s="65">
        <f>184.7+100</f>
        <v>284.7</v>
      </c>
      <c r="F44" s="65">
        <v>40.340000000000003</v>
      </c>
      <c r="G44" s="65">
        <f t="shared" si="1"/>
        <v>11484.79</v>
      </c>
      <c r="H44" s="126">
        <f t="shared" si="2"/>
        <v>50.43</v>
      </c>
      <c r="I44" s="126">
        <f t="shared" si="3"/>
        <v>14359.43</v>
      </c>
      <c r="J44" s="70">
        <f t="shared" si="6"/>
        <v>11484.79</v>
      </c>
      <c r="K44" s="189">
        <f t="shared" si="5"/>
        <v>0.22364665043139351</v>
      </c>
    </row>
    <row r="45" spans="1:11" ht="24" hidden="1" x14ac:dyDescent="0.2">
      <c r="A45" s="63" t="s">
        <v>63</v>
      </c>
      <c r="B45" s="124" t="s">
        <v>64</v>
      </c>
      <c r="C45" s="64" t="s">
        <v>65</v>
      </c>
      <c r="D45" s="125" t="s">
        <v>4</v>
      </c>
      <c r="E45" s="65">
        <f>769.45+390</f>
        <v>1159.45</v>
      </c>
      <c r="F45" s="65">
        <v>9.4</v>
      </c>
      <c r="G45" s="65">
        <f t="shared" si="1"/>
        <v>10898.83</v>
      </c>
      <c r="H45" s="126">
        <f t="shared" si="2"/>
        <v>11.75</v>
      </c>
      <c r="I45" s="126">
        <f t="shared" si="3"/>
        <v>13626.8</v>
      </c>
      <c r="J45" s="70">
        <f t="shared" si="6"/>
        <v>10898.83</v>
      </c>
      <c r="K45" s="189">
        <f t="shared" si="5"/>
        <v>0.2122360132747966</v>
      </c>
    </row>
    <row r="46" spans="1:11" x14ac:dyDescent="0.2">
      <c r="A46" s="127" t="s">
        <v>66</v>
      </c>
      <c r="B46" s="128"/>
      <c r="C46" s="66" t="s">
        <v>67</v>
      </c>
      <c r="D46" s="66"/>
      <c r="E46" s="141"/>
      <c r="F46" s="143">
        <f>F47</f>
        <v>548.42999999999995</v>
      </c>
      <c r="G46" s="143">
        <f>G47</f>
        <v>5275.88</v>
      </c>
      <c r="H46" s="129">
        <f>H47</f>
        <v>685.69</v>
      </c>
      <c r="I46" s="129">
        <f>I47</f>
        <v>6596.42</v>
      </c>
      <c r="J46" s="75">
        <f>J47</f>
        <v>5275.88</v>
      </c>
      <c r="K46" s="189">
        <f t="shared" si="5"/>
        <v>0.10273856537750124</v>
      </c>
    </row>
    <row r="47" spans="1:11" x14ac:dyDescent="0.2">
      <c r="A47" s="127" t="s">
        <v>68</v>
      </c>
      <c r="B47" s="128"/>
      <c r="C47" s="66" t="s">
        <v>69</v>
      </c>
      <c r="D47" s="66"/>
      <c r="E47" s="141"/>
      <c r="F47" s="143">
        <f>F48+F49</f>
        <v>548.42999999999995</v>
      </c>
      <c r="G47" s="143">
        <f>G48+G49</f>
        <v>5275.88</v>
      </c>
      <c r="H47" s="129">
        <f>H48+H49</f>
        <v>685.69</v>
      </c>
      <c r="I47" s="129">
        <f>SUM(I48:I49)</f>
        <v>6596.42</v>
      </c>
      <c r="J47" s="75">
        <f>SUM(J48:J49)</f>
        <v>5275.88</v>
      </c>
      <c r="K47" s="189">
        <f t="shared" si="5"/>
        <v>0.10273856537750124</v>
      </c>
    </row>
    <row r="48" spans="1:11" ht="25.5" hidden="1" x14ac:dyDescent="0.2">
      <c r="A48" s="63" t="s">
        <v>1070</v>
      </c>
      <c r="B48" s="124" t="s">
        <v>841</v>
      </c>
      <c r="C48" s="64" t="s">
        <v>70</v>
      </c>
      <c r="D48" s="125" t="s">
        <v>9</v>
      </c>
      <c r="E48" s="65">
        <f>4.62+5</f>
        <v>9.620000000000001</v>
      </c>
      <c r="F48" s="65">
        <v>432.69</v>
      </c>
      <c r="G48" s="65">
        <f t="shared" ref="G48:G49" si="7">TRUNC(E48*F48,2)</f>
        <v>4162.47</v>
      </c>
      <c r="H48" s="126">
        <f t="shared" si="2"/>
        <v>540.99</v>
      </c>
      <c r="I48" s="126">
        <f t="shared" ref="I48:I49" si="8">TRUNC(G48*(1+I$8),2)</f>
        <v>5204.33</v>
      </c>
      <c r="J48" s="70">
        <f>TRUNC(E48 * F48, 2)</f>
        <v>4162.47</v>
      </c>
      <c r="K48" s="189">
        <f t="shared" si="5"/>
        <v>8.1056906314499536E-2</v>
      </c>
    </row>
    <row r="49" spans="1:11" ht="24" hidden="1" x14ac:dyDescent="0.2">
      <c r="A49" s="63" t="s">
        <v>1071</v>
      </c>
      <c r="B49" s="124" t="s">
        <v>842</v>
      </c>
      <c r="C49" s="64" t="s">
        <v>71</v>
      </c>
      <c r="D49" s="125" t="s">
        <v>9</v>
      </c>
      <c r="E49" s="65">
        <f>4.62+5</f>
        <v>9.620000000000001</v>
      </c>
      <c r="F49" s="65">
        <v>115.74</v>
      </c>
      <c r="G49" s="65">
        <f t="shared" si="7"/>
        <v>1113.4100000000001</v>
      </c>
      <c r="H49" s="126">
        <f t="shared" si="2"/>
        <v>144.69999999999999</v>
      </c>
      <c r="I49" s="126">
        <f t="shared" si="8"/>
        <v>1392.09</v>
      </c>
      <c r="J49" s="70">
        <f>TRUNC(E49 * F49, 2)</f>
        <v>1113.4100000000001</v>
      </c>
      <c r="K49" s="189">
        <f t="shared" si="5"/>
        <v>2.1681659063001704E-2</v>
      </c>
    </row>
    <row r="50" spans="1:11" x14ac:dyDescent="0.2">
      <c r="A50" s="127" t="s">
        <v>72</v>
      </c>
      <c r="B50" s="128"/>
      <c r="C50" s="66" t="s">
        <v>73</v>
      </c>
      <c r="D50" s="66"/>
      <c r="E50" s="141"/>
      <c r="F50" s="143">
        <f>F51+F58+F65+F72</f>
        <v>2856.94</v>
      </c>
      <c r="G50" s="143">
        <f>G51+G58+G65+G72</f>
        <v>49277.11</v>
      </c>
      <c r="H50" s="129">
        <f>H51+H58+H65+H72</f>
        <v>3571.93</v>
      </c>
      <c r="I50" s="129">
        <f>I51+I58+I65+I72</f>
        <v>61611.07</v>
      </c>
      <c r="J50" s="75">
        <f>J51+J58+J65+J72</f>
        <v>49277.11</v>
      </c>
      <c r="K50" s="189">
        <f>I50/$I$407</f>
        <v>3.6415248497837997E-2</v>
      </c>
    </row>
    <row r="51" spans="1:11" x14ac:dyDescent="0.2">
      <c r="A51" s="127" t="s">
        <v>74</v>
      </c>
      <c r="B51" s="128"/>
      <c r="C51" s="66" t="s">
        <v>1057</v>
      </c>
      <c r="D51" s="66"/>
      <c r="E51" s="141"/>
      <c r="F51" s="143">
        <f>SUM(F52:F57)</f>
        <v>739.73</v>
      </c>
      <c r="G51" s="143">
        <f>SUM(G52:G57)</f>
        <v>22978.379999999997</v>
      </c>
      <c r="H51" s="129">
        <f>SUM(H52:H57)</f>
        <v>924.85</v>
      </c>
      <c r="I51" s="129">
        <f>SUM(I52:I57)</f>
        <v>28729.84</v>
      </c>
      <c r="J51" s="75">
        <f>SUM(J52:J57)</f>
        <v>22978.379999999997</v>
      </c>
      <c r="K51" s="189">
        <f>I51/$I$407</f>
        <v>1.6980783857562059E-2</v>
      </c>
    </row>
    <row r="52" spans="1:11" ht="51" hidden="1" x14ac:dyDescent="0.2">
      <c r="A52" s="63" t="s">
        <v>75</v>
      </c>
      <c r="B52" s="124" t="s">
        <v>843</v>
      </c>
      <c r="C52" s="64" t="s">
        <v>76</v>
      </c>
      <c r="D52" s="125" t="s">
        <v>4</v>
      </c>
      <c r="E52" s="65">
        <f>6.15+20</f>
        <v>26.15</v>
      </c>
      <c r="F52" s="65">
        <v>62.04</v>
      </c>
      <c r="G52" s="65">
        <f t="shared" ref="G52:G74" si="9">TRUNC(E52*F52,2)</f>
        <v>1622.34</v>
      </c>
      <c r="H52" s="126">
        <f t="shared" si="2"/>
        <v>77.56</v>
      </c>
      <c r="I52" s="126">
        <f t="shared" ref="I52:I74" si="10">TRUNC(G52*(1+I$8),2)</f>
        <v>2028.41</v>
      </c>
      <c r="J52" s="70">
        <f t="shared" ref="J52:J57" si="11">TRUNC(E52 * F52, 2)</f>
        <v>1622.34</v>
      </c>
      <c r="K52" s="189">
        <f t="shared" ref="K52:K57" si="12">I52/$I$51</f>
        <v>7.0602899285203122E-2</v>
      </c>
    </row>
    <row r="53" spans="1:11" ht="25.5" hidden="1" x14ac:dyDescent="0.2">
      <c r="A53" s="63" t="s">
        <v>1108</v>
      </c>
      <c r="B53" s="124" t="s">
        <v>844</v>
      </c>
      <c r="C53" s="64" t="s">
        <v>1085</v>
      </c>
      <c r="D53" s="125" t="s">
        <v>30</v>
      </c>
      <c r="E53" s="65">
        <v>169.3</v>
      </c>
      <c r="F53" s="65">
        <v>12.96</v>
      </c>
      <c r="G53" s="65">
        <f t="shared" si="9"/>
        <v>2194.12</v>
      </c>
      <c r="H53" s="126">
        <f t="shared" si="2"/>
        <v>16.2</v>
      </c>
      <c r="I53" s="126">
        <f t="shared" si="10"/>
        <v>2743.3</v>
      </c>
      <c r="J53" s="70">
        <f t="shared" si="11"/>
        <v>2194.12</v>
      </c>
      <c r="K53" s="189">
        <f t="shared" si="12"/>
        <v>9.5486086939572237E-2</v>
      </c>
    </row>
    <row r="54" spans="1:11" ht="38.25" hidden="1" x14ac:dyDescent="0.2">
      <c r="A54" s="63" t="s">
        <v>1109</v>
      </c>
      <c r="B54" s="124" t="s">
        <v>845</v>
      </c>
      <c r="C54" s="64" t="s">
        <v>78</v>
      </c>
      <c r="D54" s="125" t="s">
        <v>30</v>
      </c>
      <c r="E54" s="65">
        <v>184.7</v>
      </c>
      <c r="F54" s="65">
        <v>12.38</v>
      </c>
      <c r="G54" s="65">
        <f t="shared" si="9"/>
        <v>2286.58</v>
      </c>
      <c r="H54" s="126">
        <f t="shared" si="2"/>
        <v>15.47</v>
      </c>
      <c r="I54" s="126">
        <f t="shared" si="10"/>
        <v>2858.91</v>
      </c>
      <c r="J54" s="70">
        <f t="shared" si="11"/>
        <v>2286.58</v>
      </c>
      <c r="K54" s="189">
        <f t="shared" si="12"/>
        <v>9.9510126057089074E-2</v>
      </c>
    </row>
    <row r="55" spans="1:11" ht="25.5" hidden="1" x14ac:dyDescent="0.2">
      <c r="A55" s="63" t="s">
        <v>1110</v>
      </c>
      <c r="B55" s="124" t="s">
        <v>846</v>
      </c>
      <c r="C55" s="64" t="s">
        <v>79</v>
      </c>
      <c r="D55" s="125" t="s">
        <v>30</v>
      </c>
      <c r="E55" s="65">
        <f>246.25+225</f>
        <v>471.25</v>
      </c>
      <c r="F55" s="65">
        <v>9.41</v>
      </c>
      <c r="G55" s="65">
        <f t="shared" si="9"/>
        <v>4434.46</v>
      </c>
      <c r="H55" s="126">
        <f t="shared" si="2"/>
        <v>11.76</v>
      </c>
      <c r="I55" s="126">
        <f t="shared" si="10"/>
        <v>5544.4</v>
      </c>
      <c r="J55" s="70">
        <f t="shared" si="11"/>
        <v>4434.46</v>
      </c>
      <c r="K55" s="189">
        <f t="shared" si="12"/>
        <v>0.19298401940282298</v>
      </c>
    </row>
    <row r="56" spans="1:11" ht="25.5" hidden="1" x14ac:dyDescent="0.2">
      <c r="A56" s="63" t="s">
        <v>1111</v>
      </c>
      <c r="B56" s="124" t="s">
        <v>847</v>
      </c>
      <c r="C56" s="64" t="s">
        <v>80</v>
      </c>
      <c r="D56" s="125" t="s">
        <v>9</v>
      </c>
      <c r="E56" s="65">
        <f>12.35+7</f>
        <v>19.350000000000001</v>
      </c>
      <c r="F56" s="65">
        <v>462.87</v>
      </c>
      <c r="G56" s="65">
        <f t="shared" si="9"/>
        <v>8956.5300000000007</v>
      </c>
      <c r="H56" s="126">
        <f t="shared" si="2"/>
        <v>578.72</v>
      </c>
      <c r="I56" s="126">
        <f t="shared" si="10"/>
        <v>11198.34</v>
      </c>
      <c r="J56" s="70">
        <f t="shared" si="11"/>
        <v>8956.5300000000007</v>
      </c>
      <c r="K56" s="189">
        <f t="shared" si="12"/>
        <v>0.38978079933616061</v>
      </c>
    </row>
    <row r="57" spans="1:11" ht="31.5" hidden="1" customHeight="1" x14ac:dyDescent="0.2">
      <c r="A57" s="63" t="s">
        <v>1112</v>
      </c>
      <c r="B57" s="124" t="s">
        <v>848</v>
      </c>
      <c r="C57" s="64" t="s">
        <v>1086</v>
      </c>
      <c r="D57" s="125" t="s">
        <v>9</v>
      </c>
      <c r="E57" s="65">
        <f>12.35+7</f>
        <v>19.350000000000001</v>
      </c>
      <c r="F57" s="65">
        <v>180.07</v>
      </c>
      <c r="G57" s="65">
        <f t="shared" si="9"/>
        <v>3484.35</v>
      </c>
      <c r="H57" s="126">
        <f t="shared" si="2"/>
        <v>225.14</v>
      </c>
      <c r="I57" s="126">
        <f t="shared" si="10"/>
        <v>4356.4799999999996</v>
      </c>
      <c r="J57" s="70">
        <f t="shared" si="11"/>
        <v>3484.35</v>
      </c>
      <c r="K57" s="189">
        <f t="shared" si="12"/>
        <v>0.15163606897915197</v>
      </c>
    </row>
    <row r="58" spans="1:11" x14ac:dyDescent="0.2">
      <c r="A58" s="127" t="s">
        <v>82</v>
      </c>
      <c r="B58" s="128"/>
      <c r="C58" s="66" t="s">
        <v>1058</v>
      </c>
      <c r="D58" s="66"/>
      <c r="E58" s="141"/>
      <c r="F58" s="143">
        <f>SUM(F59:F64)</f>
        <v>778.27</v>
      </c>
      <c r="G58" s="143">
        <f>SUM(G59:G64)</f>
        <v>17360.72</v>
      </c>
      <c r="H58" s="129">
        <f>SUM(H59:H64)</f>
        <v>973.04</v>
      </c>
      <c r="I58" s="129">
        <f>SUM(I59:I64)</f>
        <v>21706.079999999998</v>
      </c>
      <c r="J58" s="75">
        <f>SUM(J59:J64)</f>
        <v>17360.72</v>
      </c>
      <c r="K58" s="189">
        <f>I58/$I$407</f>
        <v>1.2829387594046837E-2</v>
      </c>
    </row>
    <row r="59" spans="1:11" ht="25.5" hidden="1" x14ac:dyDescent="0.2">
      <c r="A59" s="63" t="s">
        <v>83</v>
      </c>
      <c r="B59" s="124" t="s">
        <v>849</v>
      </c>
      <c r="C59" s="64" t="s">
        <v>84</v>
      </c>
      <c r="D59" s="125" t="s">
        <v>4</v>
      </c>
      <c r="E59" s="65">
        <f>6.15+20</f>
        <v>26.15</v>
      </c>
      <c r="F59" s="65">
        <v>101.82</v>
      </c>
      <c r="G59" s="65">
        <f t="shared" si="9"/>
        <v>2662.59</v>
      </c>
      <c r="H59" s="126">
        <f t="shared" si="2"/>
        <v>127.3</v>
      </c>
      <c r="I59" s="126">
        <f t="shared" si="10"/>
        <v>3329.03</v>
      </c>
      <c r="J59" s="70">
        <f t="shared" ref="J59:J64" si="13">TRUNC(E59 * F59, 2)</f>
        <v>2662.59</v>
      </c>
      <c r="K59" s="189">
        <f t="shared" ref="K59:K64" si="14">I59/$I$58</f>
        <v>0.1533685492728305</v>
      </c>
    </row>
    <row r="60" spans="1:11" ht="25.5" hidden="1" x14ac:dyDescent="0.2">
      <c r="A60" s="63" t="s">
        <v>1113</v>
      </c>
      <c r="B60" s="124" t="s">
        <v>844</v>
      </c>
      <c r="C60" s="64" t="s">
        <v>77</v>
      </c>
      <c r="D60" s="125" t="s">
        <v>30</v>
      </c>
      <c r="E60" s="65">
        <f>153.9</f>
        <v>153.9</v>
      </c>
      <c r="F60" s="65">
        <v>12.96</v>
      </c>
      <c r="G60" s="65">
        <f t="shared" si="9"/>
        <v>1994.54</v>
      </c>
      <c r="H60" s="126">
        <f t="shared" si="2"/>
        <v>16.2</v>
      </c>
      <c r="I60" s="126">
        <f t="shared" si="10"/>
        <v>2493.77</v>
      </c>
      <c r="J60" s="70">
        <f t="shared" si="13"/>
        <v>1994.54</v>
      </c>
      <c r="K60" s="189">
        <f t="shared" si="14"/>
        <v>0.11488808665590472</v>
      </c>
    </row>
    <row r="61" spans="1:11" ht="25.5" hidden="1" x14ac:dyDescent="0.2">
      <c r="A61" s="63" t="s">
        <v>1114</v>
      </c>
      <c r="B61" s="124" t="s">
        <v>850</v>
      </c>
      <c r="C61" s="64" t="s">
        <v>85</v>
      </c>
      <c r="D61" s="125" t="s">
        <v>30</v>
      </c>
      <c r="E61" s="65">
        <f>215.5+105</f>
        <v>320.5</v>
      </c>
      <c r="F61" s="65">
        <v>11.14</v>
      </c>
      <c r="G61" s="65">
        <f t="shared" si="9"/>
        <v>3570.37</v>
      </c>
      <c r="H61" s="126">
        <f t="shared" si="2"/>
        <v>13.92</v>
      </c>
      <c r="I61" s="126">
        <f t="shared" si="10"/>
        <v>4464.03</v>
      </c>
      <c r="J61" s="70">
        <f t="shared" si="13"/>
        <v>3570.37</v>
      </c>
      <c r="K61" s="189">
        <f t="shared" si="14"/>
        <v>0.20565804604055637</v>
      </c>
    </row>
    <row r="62" spans="1:11" ht="25.5" hidden="1" x14ac:dyDescent="0.2">
      <c r="A62" s="63" t="s">
        <v>1115</v>
      </c>
      <c r="B62" s="124" t="s">
        <v>846</v>
      </c>
      <c r="C62" s="64" t="s">
        <v>79</v>
      </c>
      <c r="D62" s="125" t="s">
        <v>30</v>
      </c>
      <c r="E62" s="65">
        <f>246.25+65</f>
        <v>311.25</v>
      </c>
      <c r="F62" s="65">
        <v>9.41</v>
      </c>
      <c r="G62" s="65">
        <f t="shared" si="9"/>
        <v>2928.86</v>
      </c>
      <c r="H62" s="126">
        <f t="shared" si="2"/>
        <v>11.76</v>
      </c>
      <c r="I62" s="126">
        <f t="shared" si="10"/>
        <v>3661.95</v>
      </c>
      <c r="J62" s="70">
        <f t="shared" si="13"/>
        <v>2928.86</v>
      </c>
      <c r="K62" s="189">
        <f t="shared" si="14"/>
        <v>0.168706187390814</v>
      </c>
    </row>
    <row r="63" spans="1:11" ht="25.5" hidden="1" x14ac:dyDescent="0.2">
      <c r="A63" s="63" t="s">
        <v>1116</v>
      </c>
      <c r="B63" s="124" t="s">
        <v>847</v>
      </c>
      <c r="C63" s="64" t="s">
        <v>80</v>
      </c>
      <c r="D63" s="125" t="s">
        <v>9</v>
      </c>
      <c r="E63" s="65">
        <f>6.15+3.5</f>
        <v>9.65</v>
      </c>
      <c r="F63" s="65">
        <v>462.87</v>
      </c>
      <c r="G63" s="65">
        <f t="shared" si="9"/>
        <v>4466.6899999999996</v>
      </c>
      <c r="H63" s="126">
        <f t="shared" si="2"/>
        <v>578.72</v>
      </c>
      <c r="I63" s="126">
        <f t="shared" si="10"/>
        <v>5584.7</v>
      </c>
      <c r="J63" s="70">
        <f t="shared" si="13"/>
        <v>4466.6899999999996</v>
      </c>
      <c r="K63" s="189">
        <f t="shared" si="14"/>
        <v>0.25728735911781403</v>
      </c>
    </row>
    <row r="64" spans="1:11" ht="25.5" hidden="1" x14ac:dyDescent="0.2">
      <c r="A64" s="63" t="s">
        <v>1064</v>
      </c>
      <c r="B64" s="124" t="s">
        <v>848</v>
      </c>
      <c r="C64" s="64" t="s">
        <v>1086</v>
      </c>
      <c r="D64" s="125" t="s">
        <v>9</v>
      </c>
      <c r="E64" s="65">
        <f>6.15+3.5</f>
        <v>9.65</v>
      </c>
      <c r="F64" s="65">
        <v>180.07</v>
      </c>
      <c r="G64" s="65">
        <f t="shared" si="9"/>
        <v>1737.67</v>
      </c>
      <c r="H64" s="126">
        <f t="shared" si="2"/>
        <v>225.14</v>
      </c>
      <c r="I64" s="126">
        <f t="shared" si="10"/>
        <v>2172.6</v>
      </c>
      <c r="J64" s="70">
        <f t="shared" si="13"/>
        <v>1737.67</v>
      </c>
      <c r="K64" s="189">
        <f t="shared" si="14"/>
        <v>0.10009177152208046</v>
      </c>
    </row>
    <row r="65" spans="1:11" ht="25.5" x14ac:dyDescent="0.2">
      <c r="A65" s="127" t="s">
        <v>86</v>
      </c>
      <c r="B65" s="128"/>
      <c r="C65" s="66" t="s">
        <v>1059</v>
      </c>
      <c r="D65" s="66"/>
      <c r="E65" s="141"/>
      <c r="F65" s="143">
        <f>SUM(F66:F71)</f>
        <v>696</v>
      </c>
      <c r="G65" s="143">
        <f>SUM(G66:G71)</f>
        <v>6752.03</v>
      </c>
      <c r="H65" s="129">
        <f>SUM(H66:H71)</f>
        <v>870.18000000000006</v>
      </c>
      <c r="I65" s="129">
        <f>SUM(I66:I71)</f>
        <v>8442.0300000000007</v>
      </c>
      <c r="J65" s="75">
        <f>SUM(J66:J71)</f>
        <v>6752.03</v>
      </c>
      <c r="K65" s="189">
        <f>I65/$I$407</f>
        <v>4.9896653357294936E-3</v>
      </c>
    </row>
    <row r="66" spans="1:11" ht="25.5" hidden="1" x14ac:dyDescent="0.2">
      <c r="A66" s="63" t="s">
        <v>87</v>
      </c>
      <c r="B66" s="124" t="s">
        <v>851</v>
      </c>
      <c r="C66" s="64" t="s">
        <v>88</v>
      </c>
      <c r="D66" s="125" t="s">
        <v>9</v>
      </c>
      <c r="E66" s="65">
        <f>3.1+2</f>
        <v>5.0999999999999996</v>
      </c>
      <c r="F66" s="65">
        <v>15.49</v>
      </c>
      <c r="G66" s="65">
        <f t="shared" si="9"/>
        <v>78.989999999999995</v>
      </c>
      <c r="H66" s="126">
        <f t="shared" si="2"/>
        <v>19.36</v>
      </c>
      <c r="I66" s="126">
        <f t="shared" si="10"/>
        <v>98.76</v>
      </c>
      <c r="J66" s="70">
        <f t="shared" ref="J66:J71" si="15">TRUNC(E66* F66, 2)</f>
        <v>78.989999999999995</v>
      </c>
      <c r="K66" s="189">
        <f t="shared" ref="K66:K71" si="16">I66/$I$65</f>
        <v>1.1698608036218777E-2</v>
      </c>
    </row>
    <row r="67" spans="1:11" ht="25.5" hidden="1" x14ac:dyDescent="0.2">
      <c r="A67" s="63" t="s">
        <v>1097</v>
      </c>
      <c r="B67" s="124" t="s">
        <v>852</v>
      </c>
      <c r="C67" s="64" t="s">
        <v>89</v>
      </c>
      <c r="D67" s="125" t="s">
        <v>30</v>
      </c>
      <c r="E67" s="65">
        <f>61.55+30</f>
        <v>91.55</v>
      </c>
      <c r="F67" s="65">
        <v>12.56</v>
      </c>
      <c r="G67" s="65">
        <f t="shared" si="9"/>
        <v>1149.8599999999999</v>
      </c>
      <c r="H67" s="126">
        <f t="shared" si="2"/>
        <v>15.7</v>
      </c>
      <c r="I67" s="126">
        <f t="shared" si="10"/>
        <v>1437.66</v>
      </c>
      <c r="J67" s="70">
        <f t="shared" si="15"/>
        <v>1149.8599999999999</v>
      </c>
      <c r="K67" s="189">
        <f t="shared" si="16"/>
        <v>0.17029790228179714</v>
      </c>
    </row>
    <row r="68" spans="1:11" ht="38.25" hidden="1" x14ac:dyDescent="0.2">
      <c r="A68" s="63" t="s">
        <v>1098</v>
      </c>
      <c r="B68" s="124" t="s">
        <v>853</v>
      </c>
      <c r="C68" s="64" t="s">
        <v>90</v>
      </c>
      <c r="D68" s="125" t="s">
        <v>30</v>
      </c>
      <c r="E68" s="65">
        <f>123.1+40</f>
        <v>163.1</v>
      </c>
      <c r="F68" s="65">
        <v>11.99</v>
      </c>
      <c r="G68" s="65">
        <f t="shared" si="9"/>
        <v>1955.56</v>
      </c>
      <c r="H68" s="126">
        <f t="shared" si="2"/>
        <v>14.99</v>
      </c>
      <c r="I68" s="126">
        <f t="shared" si="10"/>
        <v>2445.0300000000002</v>
      </c>
      <c r="J68" s="70">
        <f t="shared" si="15"/>
        <v>1955.56</v>
      </c>
      <c r="K68" s="189">
        <f t="shared" si="16"/>
        <v>0.28962583643981366</v>
      </c>
    </row>
    <row r="69" spans="1:11" ht="25.5" hidden="1" x14ac:dyDescent="0.2">
      <c r="A69" s="63" t="s">
        <v>1099</v>
      </c>
      <c r="B69" s="124" t="s">
        <v>854</v>
      </c>
      <c r="C69" s="64" t="s">
        <v>91</v>
      </c>
      <c r="D69" s="125" t="s">
        <v>30</v>
      </c>
      <c r="E69" s="65">
        <f>61.55+10</f>
        <v>71.55</v>
      </c>
      <c r="F69" s="65">
        <v>13.02</v>
      </c>
      <c r="G69" s="65">
        <f t="shared" si="9"/>
        <v>931.58</v>
      </c>
      <c r="H69" s="126">
        <f t="shared" si="2"/>
        <v>16.27</v>
      </c>
      <c r="I69" s="126">
        <f t="shared" si="10"/>
        <v>1164.75</v>
      </c>
      <c r="J69" s="70">
        <f t="shared" si="15"/>
        <v>931.58</v>
      </c>
      <c r="K69" s="189">
        <f t="shared" si="16"/>
        <v>0.13797036968596416</v>
      </c>
    </row>
    <row r="70" spans="1:11" ht="27.75" hidden="1" customHeight="1" x14ac:dyDescent="0.2">
      <c r="A70" s="63" t="s">
        <v>1100</v>
      </c>
      <c r="B70" s="124" t="s">
        <v>847</v>
      </c>
      <c r="C70" s="64" t="s">
        <v>92</v>
      </c>
      <c r="D70" s="125" t="s">
        <v>9</v>
      </c>
      <c r="E70" s="65">
        <f>3.1+1</f>
        <v>4.0999999999999996</v>
      </c>
      <c r="F70" s="65">
        <v>462.87</v>
      </c>
      <c r="G70" s="65">
        <f t="shared" si="9"/>
        <v>1897.76</v>
      </c>
      <c r="H70" s="126">
        <f t="shared" si="2"/>
        <v>578.72</v>
      </c>
      <c r="I70" s="126">
        <f t="shared" si="10"/>
        <v>2372.7600000000002</v>
      </c>
      <c r="J70" s="70">
        <f t="shared" si="15"/>
        <v>1897.76</v>
      </c>
      <c r="K70" s="189">
        <f t="shared" si="16"/>
        <v>0.28106509927114687</v>
      </c>
    </row>
    <row r="71" spans="1:11" ht="30" hidden="1" customHeight="1" x14ac:dyDescent="0.2">
      <c r="A71" s="63" t="s">
        <v>1101</v>
      </c>
      <c r="B71" s="124" t="s">
        <v>848</v>
      </c>
      <c r="C71" s="64" t="s">
        <v>81</v>
      </c>
      <c r="D71" s="125" t="s">
        <v>9</v>
      </c>
      <c r="E71" s="65">
        <f>3.1+1</f>
        <v>4.0999999999999996</v>
      </c>
      <c r="F71" s="65">
        <v>180.07</v>
      </c>
      <c r="G71" s="65">
        <f t="shared" si="9"/>
        <v>738.28</v>
      </c>
      <c r="H71" s="126">
        <f t="shared" si="2"/>
        <v>225.14</v>
      </c>
      <c r="I71" s="126">
        <f t="shared" si="10"/>
        <v>923.07</v>
      </c>
      <c r="J71" s="70">
        <f t="shared" si="15"/>
        <v>738.28</v>
      </c>
      <c r="K71" s="189">
        <f t="shared" si="16"/>
        <v>0.1093421842850594</v>
      </c>
    </row>
    <row r="72" spans="1:11" x14ac:dyDescent="0.2">
      <c r="A72" s="127" t="s">
        <v>93</v>
      </c>
      <c r="B72" s="128"/>
      <c r="C72" s="66" t="s">
        <v>1060</v>
      </c>
      <c r="D72" s="66"/>
      <c r="E72" s="141"/>
      <c r="F72" s="143">
        <f>F73+F74</f>
        <v>642.94000000000005</v>
      </c>
      <c r="G72" s="143">
        <f>G73+G74</f>
        <v>2185.98</v>
      </c>
      <c r="H72" s="129">
        <f>H73+H74</f>
        <v>803.86</v>
      </c>
      <c r="I72" s="129">
        <f>SUM(I73:I74)</f>
        <v>2733.12</v>
      </c>
      <c r="J72" s="75">
        <f>SUM(J73:J74)</f>
        <v>2185.98</v>
      </c>
      <c r="K72" s="189">
        <f>I72/$I$407</f>
        <v>1.6154117104996064E-3</v>
      </c>
    </row>
    <row r="73" spans="1:11" ht="25.5" x14ac:dyDescent="0.2">
      <c r="A73" s="63" t="s">
        <v>94</v>
      </c>
      <c r="B73" s="124" t="s">
        <v>847</v>
      </c>
      <c r="C73" s="64" t="s">
        <v>80</v>
      </c>
      <c r="D73" s="125" t="s">
        <v>9</v>
      </c>
      <c r="E73" s="65">
        <f>2.4+1</f>
        <v>3.4</v>
      </c>
      <c r="F73" s="65">
        <v>462.87</v>
      </c>
      <c r="G73" s="65">
        <f t="shared" si="9"/>
        <v>1573.75</v>
      </c>
      <c r="H73" s="126">
        <f t="shared" si="2"/>
        <v>578.72</v>
      </c>
      <c r="I73" s="126">
        <f t="shared" si="10"/>
        <v>1967.65</v>
      </c>
      <c r="J73" s="216">
        <f>TRUNC(E73* F73, 2)</f>
        <v>1573.75</v>
      </c>
      <c r="K73" s="217">
        <f>I73/$I$72</f>
        <v>0.71992814073293532</v>
      </c>
    </row>
    <row r="74" spans="1:11" ht="25.5" hidden="1" x14ac:dyDescent="0.2">
      <c r="A74" s="63" t="s">
        <v>95</v>
      </c>
      <c r="B74" s="124" t="s">
        <v>848</v>
      </c>
      <c r="C74" s="64" t="s">
        <v>81</v>
      </c>
      <c r="D74" s="125" t="s">
        <v>9</v>
      </c>
      <c r="E74" s="65">
        <f>2.4+1</f>
        <v>3.4</v>
      </c>
      <c r="F74" s="65">
        <v>180.07</v>
      </c>
      <c r="G74" s="65">
        <f t="shared" si="9"/>
        <v>612.23</v>
      </c>
      <c r="H74" s="126">
        <f t="shared" si="2"/>
        <v>225.14</v>
      </c>
      <c r="I74" s="126">
        <f t="shared" si="10"/>
        <v>765.47</v>
      </c>
      <c r="J74" s="70">
        <f>TRUNC(E74 * F74, 2)</f>
        <v>612.23</v>
      </c>
      <c r="K74" s="189">
        <f>I74/$I$72</f>
        <v>0.28007185926706479</v>
      </c>
    </row>
    <row r="75" spans="1:11" x14ac:dyDescent="0.2">
      <c r="A75" s="127" t="s">
        <v>96</v>
      </c>
      <c r="B75" s="128"/>
      <c r="C75" s="66" t="s">
        <v>97</v>
      </c>
      <c r="D75" s="66"/>
      <c r="E75" s="141"/>
      <c r="F75" s="143">
        <f>F76+F80</f>
        <v>224.39</v>
      </c>
      <c r="G75" s="143">
        <f>G76+G80</f>
        <v>56965.919999999998</v>
      </c>
      <c r="H75" s="129">
        <f>H76+H80</f>
        <v>280.52999999999997</v>
      </c>
      <c r="I75" s="129">
        <f>I76+I80</f>
        <v>71224.47</v>
      </c>
      <c r="J75" s="75">
        <f>J76+J80</f>
        <v>56965.919999999998</v>
      </c>
      <c r="K75" s="189">
        <f>I75/$I$407</f>
        <v>4.2097252558295245E-2</v>
      </c>
    </row>
    <row r="76" spans="1:11" ht="25.5" x14ac:dyDescent="0.2">
      <c r="A76" s="127" t="s">
        <v>98</v>
      </c>
      <c r="B76" s="128"/>
      <c r="C76" s="66" t="s">
        <v>99</v>
      </c>
      <c r="D76" s="66"/>
      <c r="E76" s="141"/>
      <c r="F76" s="143">
        <f>SUM(F77:F79)</f>
        <v>59.069999999999993</v>
      </c>
      <c r="G76" s="143">
        <f>G77+G78+G79</f>
        <v>41830.879999999997</v>
      </c>
      <c r="H76" s="129">
        <f>SUM(H77:H79)</f>
        <v>73.839999999999989</v>
      </c>
      <c r="I76" s="129">
        <f>SUM(I77:I79)</f>
        <v>52301.130000000005</v>
      </c>
      <c r="J76" s="75">
        <f>SUM(J77:J79)</f>
        <v>41830.879999999997</v>
      </c>
      <c r="K76" s="189">
        <f>I76/$I$407</f>
        <v>3.0912604596344942E-2</v>
      </c>
    </row>
    <row r="77" spans="1:11" ht="40.5" hidden="1" customHeight="1" x14ac:dyDescent="0.2">
      <c r="A77" s="63" t="s">
        <v>100</v>
      </c>
      <c r="B77" s="124" t="s">
        <v>855</v>
      </c>
      <c r="C77" s="64" t="s">
        <v>101</v>
      </c>
      <c r="D77" s="125" t="s">
        <v>30</v>
      </c>
      <c r="E77" s="65">
        <v>593.9</v>
      </c>
      <c r="F77" s="65">
        <v>18.29</v>
      </c>
      <c r="G77" s="65">
        <f t="shared" ref="G77:G90" si="17">TRUNC(E77*F77,2)</f>
        <v>10862.43</v>
      </c>
      <c r="H77" s="126">
        <f t="shared" si="2"/>
        <v>22.86</v>
      </c>
      <c r="I77" s="126">
        <f t="shared" ref="I77:I90" si="18">TRUNC(G77*(1+I$8),2)</f>
        <v>13581.29</v>
      </c>
      <c r="J77" s="70">
        <f>TRUNC(E77 * F77, 2)</f>
        <v>10862.43</v>
      </c>
      <c r="K77" s="189">
        <f>I77/$I$76</f>
        <v>0.25967488656554838</v>
      </c>
    </row>
    <row r="78" spans="1:11" ht="41.25" customHeight="1" x14ac:dyDescent="0.2">
      <c r="A78" s="63" t="s">
        <v>1102</v>
      </c>
      <c r="B78" s="124" t="s">
        <v>856</v>
      </c>
      <c r="C78" s="64" t="s">
        <v>102</v>
      </c>
      <c r="D78" s="125" t="s">
        <v>30</v>
      </c>
      <c r="E78" s="65">
        <f>747.8+750</f>
        <v>1497.8</v>
      </c>
      <c r="F78" s="65">
        <v>18.59</v>
      </c>
      <c r="G78" s="65">
        <f t="shared" si="17"/>
        <v>27844.1</v>
      </c>
      <c r="H78" s="126">
        <f t="shared" ref="H78:H141" si="19">TRUNC(F78*(1+I$8),2)</f>
        <v>23.24</v>
      </c>
      <c r="I78" s="126">
        <f t="shared" si="18"/>
        <v>34813.47</v>
      </c>
      <c r="J78" s="216">
        <f>TRUNC(E78 * F78, 2)</f>
        <v>27844.1</v>
      </c>
      <c r="K78" s="217">
        <f>I78/$I$76</f>
        <v>0.66563514019677961</v>
      </c>
    </row>
    <row r="79" spans="1:11" ht="40.5" hidden="1" customHeight="1" x14ac:dyDescent="0.2">
      <c r="A79" s="63" t="s">
        <v>1103</v>
      </c>
      <c r="B79" s="124" t="s">
        <v>857</v>
      </c>
      <c r="C79" s="64" t="s">
        <v>103</v>
      </c>
      <c r="D79" s="125" t="s">
        <v>30</v>
      </c>
      <c r="E79" s="65">
        <v>140.80000000000001</v>
      </c>
      <c r="F79" s="65">
        <v>22.19</v>
      </c>
      <c r="G79" s="65">
        <f t="shared" si="17"/>
        <v>3124.35</v>
      </c>
      <c r="H79" s="126">
        <f t="shared" si="19"/>
        <v>27.74</v>
      </c>
      <c r="I79" s="126">
        <f t="shared" si="18"/>
        <v>3906.37</v>
      </c>
      <c r="J79" s="70">
        <f>TRUNC(E79 * F79, 2)</f>
        <v>3124.35</v>
      </c>
      <c r="K79" s="189">
        <f>I79/$I$76</f>
        <v>7.4689973237671917E-2</v>
      </c>
    </row>
    <row r="80" spans="1:11" x14ac:dyDescent="0.2">
      <c r="A80" s="127" t="s">
        <v>104</v>
      </c>
      <c r="B80" s="128"/>
      <c r="C80" s="66" t="s">
        <v>105</v>
      </c>
      <c r="D80" s="66"/>
      <c r="E80" s="141"/>
      <c r="F80" s="143">
        <f>F81</f>
        <v>165.32</v>
      </c>
      <c r="G80" s="143">
        <f>G81</f>
        <v>15135.04</v>
      </c>
      <c r="H80" s="129">
        <f>H81</f>
        <v>206.69</v>
      </c>
      <c r="I80" s="129">
        <f>I81</f>
        <v>18923.34</v>
      </c>
      <c r="J80" s="75">
        <f>J81</f>
        <v>15135.04</v>
      </c>
      <c r="K80" s="189">
        <f>I80/$I$407</f>
        <v>1.1184647961950307E-2</v>
      </c>
    </row>
    <row r="81" spans="1:11" ht="26.25" hidden="1" customHeight="1" x14ac:dyDescent="0.2">
      <c r="A81" s="63" t="s">
        <v>106</v>
      </c>
      <c r="B81" s="124" t="s">
        <v>858</v>
      </c>
      <c r="C81" s="64" t="s">
        <v>107</v>
      </c>
      <c r="D81" s="125" t="s">
        <v>4</v>
      </c>
      <c r="E81" s="65">
        <f>39.55+52</f>
        <v>91.55</v>
      </c>
      <c r="F81" s="65">
        <v>165.32</v>
      </c>
      <c r="G81" s="65">
        <f t="shared" si="17"/>
        <v>15135.04</v>
      </c>
      <c r="H81" s="126">
        <f t="shared" si="19"/>
        <v>206.69</v>
      </c>
      <c r="I81" s="126">
        <f t="shared" si="18"/>
        <v>18923.34</v>
      </c>
      <c r="J81" s="70">
        <f>TRUNC(E81* F81, 2)</f>
        <v>15135.04</v>
      </c>
      <c r="K81" s="189">
        <f>I81/$I$407</f>
        <v>1.1184647961950307E-2</v>
      </c>
    </row>
    <row r="82" spans="1:11" x14ac:dyDescent="0.2">
      <c r="A82" s="127" t="s">
        <v>108</v>
      </c>
      <c r="B82" s="128"/>
      <c r="C82" s="66" t="s">
        <v>109</v>
      </c>
      <c r="D82" s="66"/>
      <c r="E82" s="141"/>
      <c r="F82" s="143">
        <f>SUM(F83:F90)</f>
        <v>792.79</v>
      </c>
      <c r="G82" s="143">
        <f>G83+G84+G85+G86+G87+G88+G89+G90</f>
        <v>32054.87</v>
      </c>
      <c r="H82" s="129">
        <f>SUM(H83:H90)</f>
        <v>991.17</v>
      </c>
      <c r="I82" s="129">
        <f>SUM(I83:I90)</f>
        <v>40078.17</v>
      </c>
      <c r="J82" s="75">
        <f>SUM(J83:J90)</f>
        <v>32054.87</v>
      </c>
      <c r="K82" s="189">
        <f>I82/$I$407</f>
        <v>2.3688219014677003E-2</v>
      </c>
    </row>
    <row r="83" spans="1:11" ht="42" hidden="1" customHeight="1" x14ac:dyDescent="0.2">
      <c r="A83" s="63" t="s">
        <v>110</v>
      </c>
      <c r="B83" s="124" t="s">
        <v>859</v>
      </c>
      <c r="C83" s="64" t="s">
        <v>111</v>
      </c>
      <c r="D83" s="125" t="s">
        <v>4</v>
      </c>
      <c r="E83" s="65">
        <v>30.8</v>
      </c>
      <c r="F83" s="65">
        <v>82.32</v>
      </c>
      <c r="G83" s="65">
        <f t="shared" si="17"/>
        <v>2535.4499999999998</v>
      </c>
      <c r="H83" s="126">
        <f t="shared" si="19"/>
        <v>102.92</v>
      </c>
      <c r="I83" s="126">
        <f t="shared" si="18"/>
        <v>3170.07</v>
      </c>
      <c r="J83" s="70">
        <f>TRUNC(F83 * E83, 2)</f>
        <v>2535.4499999999998</v>
      </c>
      <c r="K83" s="189">
        <f t="shared" ref="K83:K90" si="20">I83/$I$82</f>
        <v>7.9097174347032326E-2</v>
      </c>
    </row>
    <row r="84" spans="1:11" ht="28.5" hidden="1" customHeight="1" x14ac:dyDescent="0.2">
      <c r="A84" s="63" t="s">
        <v>112</v>
      </c>
      <c r="B84" s="124" t="s">
        <v>113</v>
      </c>
      <c r="C84" s="64" t="s">
        <v>114</v>
      </c>
      <c r="D84" s="125" t="s">
        <v>4</v>
      </c>
      <c r="E84" s="65">
        <f>55.85+50</f>
        <v>105.85</v>
      </c>
      <c r="F84" s="65">
        <v>65.430000000000007</v>
      </c>
      <c r="G84" s="65">
        <f t="shared" si="17"/>
        <v>6925.76</v>
      </c>
      <c r="H84" s="126">
        <f t="shared" si="19"/>
        <v>81.8</v>
      </c>
      <c r="I84" s="126">
        <f t="shared" si="18"/>
        <v>8659.27</v>
      </c>
      <c r="J84" s="70">
        <f t="shared" ref="J84:J90" si="21">TRUNC(F84 * E84, 2)</f>
        <v>6925.76</v>
      </c>
      <c r="K84" s="189">
        <f t="shared" si="20"/>
        <v>0.21605951569145998</v>
      </c>
    </row>
    <row r="85" spans="1:11" ht="27.75" hidden="1" customHeight="1" x14ac:dyDescent="0.2">
      <c r="A85" s="63" t="s">
        <v>115</v>
      </c>
      <c r="B85" s="124" t="s">
        <v>860</v>
      </c>
      <c r="C85" s="64" t="s">
        <v>116</v>
      </c>
      <c r="D85" s="125" t="s">
        <v>4</v>
      </c>
      <c r="E85" s="65">
        <f>30.8+16</f>
        <v>46.8</v>
      </c>
      <c r="F85" s="65">
        <v>82.62</v>
      </c>
      <c r="G85" s="65">
        <f t="shared" si="17"/>
        <v>3866.61</v>
      </c>
      <c r="H85" s="126">
        <f t="shared" si="19"/>
        <v>103.29</v>
      </c>
      <c r="I85" s="126">
        <f t="shared" si="18"/>
        <v>4834.42</v>
      </c>
      <c r="J85" s="70">
        <f t="shared" si="21"/>
        <v>3866.61</v>
      </c>
      <c r="K85" s="189">
        <f t="shared" si="20"/>
        <v>0.12062476904509363</v>
      </c>
    </row>
    <row r="86" spans="1:11" ht="16.5" hidden="1" customHeight="1" x14ac:dyDescent="0.2">
      <c r="A86" s="63" t="s">
        <v>117</v>
      </c>
      <c r="B86" s="124" t="s">
        <v>861</v>
      </c>
      <c r="C86" s="64" t="s">
        <v>118</v>
      </c>
      <c r="D86" s="125" t="s">
        <v>267</v>
      </c>
      <c r="E86" s="65">
        <f>15.4+10.5</f>
        <v>25.9</v>
      </c>
      <c r="F86" s="65">
        <v>36.11</v>
      </c>
      <c r="G86" s="65">
        <f t="shared" si="17"/>
        <v>935.24</v>
      </c>
      <c r="H86" s="126">
        <f t="shared" si="19"/>
        <v>45.14</v>
      </c>
      <c r="I86" s="126">
        <f t="shared" si="18"/>
        <v>1169.33</v>
      </c>
      <c r="J86" s="70">
        <f t="shared" si="21"/>
        <v>935.24</v>
      </c>
      <c r="K86" s="189">
        <f t="shared" si="20"/>
        <v>2.9176232347934049E-2</v>
      </c>
    </row>
    <row r="87" spans="1:11" ht="28.5" hidden="1" customHeight="1" x14ac:dyDescent="0.2">
      <c r="A87" s="63" t="s">
        <v>119</v>
      </c>
      <c r="B87" s="124" t="s">
        <v>862</v>
      </c>
      <c r="C87" s="64" t="s">
        <v>120</v>
      </c>
      <c r="D87" s="125" t="s">
        <v>4</v>
      </c>
      <c r="E87" s="65">
        <f>30.8+36</f>
        <v>66.8</v>
      </c>
      <c r="F87" s="65">
        <v>120.53</v>
      </c>
      <c r="G87" s="65">
        <f t="shared" si="17"/>
        <v>8051.4</v>
      </c>
      <c r="H87" s="126">
        <f t="shared" si="19"/>
        <v>150.69</v>
      </c>
      <c r="I87" s="126">
        <f t="shared" si="18"/>
        <v>10066.66</v>
      </c>
      <c r="J87" s="70">
        <f t="shared" si="21"/>
        <v>8051.4</v>
      </c>
      <c r="K87" s="189">
        <f t="shared" si="20"/>
        <v>0.25117564000551923</v>
      </c>
    </row>
    <row r="88" spans="1:11" ht="31.5" hidden="1" customHeight="1" x14ac:dyDescent="0.2">
      <c r="A88" s="63" t="s">
        <v>121</v>
      </c>
      <c r="B88" s="124" t="s">
        <v>863</v>
      </c>
      <c r="C88" s="64" t="s">
        <v>122</v>
      </c>
      <c r="D88" s="125" t="s">
        <v>4</v>
      </c>
      <c r="E88" s="65">
        <f>9.25+5</f>
        <v>14.25</v>
      </c>
      <c r="F88" s="65">
        <v>190.03</v>
      </c>
      <c r="G88" s="65">
        <f t="shared" si="17"/>
        <v>2707.92</v>
      </c>
      <c r="H88" s="126">
        <f t="shared" si="19"/>
        <v>237.59</v>
      </c>
      <c r="I88" s="126">
        <f t="shared" si="18"/>
        <v>3385.71</v>
      </c>
      <c r="J88" s="70">
        <f t="shared" si="21"/>
        <v>2707.92</v>
      </c>
      <c r="K88" s="189">
        <f t="shared" si="20"/>
        <v>8.447765953385597E-2</v>
      </c>
    </row>
    <row r="89" spans="1:11" ht="41.25" hidden="1" customHeight="1" x14ac:dyDescent="0.2">
      <c r="A89" s="63" t="s">
        <v>123</v>
      </c>
      <c r="B89" s="124" t="s">
        <v>864</v>
      </c>
      <c r="C89" s="64" t="s">
        <v>124</v>
      </c>
      <c r="D89" s="125" t="s">
        <v>267</v>
      </c>
      <c r="E89" s="65">
        <v>31.25</v>
      </c>
      <c r="F89" s="65">
        <v>66.87</v>
      </c>
      <c r="G89" s="65">
        <f t="shared" si="17"/>
        <v>2089.6799999999998</v>
      </c>
      <c r="H89" s="126">
        <f t="shared" si="19"/>
        <v>83.6</v>
      </c>
      <c r="I89" s="126">
        <f t="shared" si="18"/>
        <v>2612.7199999999998</v>
      </c>
      <c r="J89" s="70">
        <f t="shared" si="21"/>
        <v>2089.6799999999998</v>
      </c>
      <c r="K89" s="189">
        <f t="shared" si="20"/>
        <v>6.5190601267473045E-2</v>
      </c>
    </row>
    <row r="90" spans="1:11" ht="30" hidden="1" customHeight="1" x14ac:dyDescent="0.2">
      <c r="A90" s="63" t="s">
        <v>125</v>
      </c>
      <c r="B90" s="124" t="s">
        <v>126</v>
      </c>
      <c r="C90" s="64" t="s">
        <v>127</v>
      </c>
      <c r="D90" s="125" t="s">
        <v>4</v>
      </c>
      <c r="E90" s="65">
        <f>15.4+17.8</f>
        <v>33.200000000000003</v>
      </c>
      <c r="F90" s="65">
        <v>148.88</v>
      </c>
      <c r="G90" s="65">
        <f t="shared" si="17"/>
        <v>4942.8100000000004</v>
      </c>
      <c r="H90" s="126">
        <f t="shared" si="19"/>
        <v>186.14</v>
      </c>
      <c r="I90" s="126">
        <f t="shared" si="18"/>
        <v>6179.99</v>
      </c>
      <c r="J90" s="70">
        <f t="shared" si="21"/>
        <v>4942.8100000000004</v>
      </c>
      <c r="K90" s="189">
        <f t="shared" si="20"/>
        <v>0.15419840776163182</v>
      </c>
    </row>
    <row r="91" spans="1:11" x14ac:dyDescent="0.2">
      <c r="A91" s="127" t="s">
        <v>128</v>
      </c>
      <c r="B91" s="128"/>
      <c r="C91" s="66" t="s">
        <v>129</v>
      </c>
      <c r="D91" s="66"/>
      <c r="E91" s="141"/>
      <c r="F91" s="143">
        <f>F92+F94+F98+F107+F110+F114+F117</f>
        <v>14311.320000000002</v>
      </c>
      <c r="G91" s="143">
        <f>G92+G94+G98+G107+G110+G114+G117</f>
        <v>215876.36</v>
      </c>
      <c r="H91" s="129">
        <f>H92+H94+H98+H107+H110+H114+H117</f>
        <v>17893.330000000002</v>
      </c>
      <c r="I91" s="129">
        <f>I92+I94+I97+I98+I107+I110+I114+I117</f>
        <v>269910.11</v>
      </c>
      <c r="J91" s="75">
        <f>J92+J94+J97+J98+J107+J110+J114+J117</f>
        <v>215876.36</v>
      </c>
      <c r="K91" s="189">
        <f t="shared" ref="K91:K98" si="22">I91/$I$407</f>
        <v>0.15953048255335914</v>
      </c>
    </row>
    <row r="92" spans="1:11" x14ac:dyDescent="0.2">
      <c r="A92" s="127" t="s">
        <v>130</v>
      </c>
      <c r="B92" s="128"/>
      <c r="C92" s="66" t="s">
        <v>131</v>
      </c>
      <c r="D92" s="66"/>
      <c r="E92" s="141"/>
      <c r="F92" s="143">
        <f>F93</f>
        <v>196.37</v>
      </c>
      <c r="G92" s="143">
        <f>G93</f>
        <v>7776.25</v>
      </c>
      <c r="H92" s="129">
        <f>H93</f>
        <v>245.52</v>
      </c>
      <c r="I92" s="129">
        <f>I93</f>
        <v>9722.64</v>
      </c>
      <c r="J92" s="75">
        <f>J93</f>
        <v>7776.25</v>
      </c>
      <c r="K92" s="189">
        <f t="shared" si="22"/>
        <v>5.7465704078020329E-3</v>
      </c>
    </row>
    <row r="93" spans="1:11" ht="24" hidden="1" x14ac:dyDescent="0.2">
      <c r="A93" s="63" t="s">
        <v>132</v>
      </c>
      <c r="B93" s="124" t="s">
        <v>133</v>
      </c>
      <c r="C93" s="64" t="s">
        <v>134</v>
      </c>
      <c r="D93" s="125" t="s">
        <v>4</v>
      </c>
      <c r="E93" s="65">
        <f>24.2+15.4</f>
        <v>39.6</v>
      </c>
      <c r="F93" s="65">
        <v>196.37</v>
      </c>
      <c r="G93" s="65">
        <f t="shared" ref="G93:G119" si="23">TRUNC(E93*F93,2)</f>
        <v>7776.25</v>
      </c>
      <c r="H93" s="126">
        <f t="shared" si="19"/>
        <v>245.52</v>
      </c>
      <c r="I93" s="126">
        <f t="shared" ref="I93:I96" si="24">TRUNC(G93*(1+I$8),2)</f>
        <v>9722.64</v>
      </c>
      <c r="J93" s="70">
        <f>TRUNC(F93 * E93, 2)</f>
        <v>7776.25</v>
      </c>
      <c r="K93" s="189">
        <f t="shared" si="22"/>
        <v>5.7465704078020329E-3</v>
      </c>
    </row>
    <row r="94" spans="1:11" x14ac:dyDescent="0.2">
      <c r="A94" s="127" t="s">
        <v>135</v>
      </c>
      <c r="B94" s="128"/>
      <c r="C94" s="66" t="s">
        <v>136</v>
      </c>
      <c r="D94" s="66"/>
      <c r="E94" s="141"/>
      <c r="F94" s="143">
        <f>F95+F96</f>
        <v>925.55</v>
      </c>
      <c r="G94" s="143">
        <f>G95+G96</f>
        <v>52756.83</v>
      </c>
      <c r="H94" s="129">
        <f>H95+H96</f>
        <v>1157.21</v>
      </c>
      <c r="I94" s="129">
        <f>SUM(I95:I96)</f>
        <v>65961.86</v>
      </c>
      <c r="J94" s="75">
        <f>SUM(J95:J96)</f>
        <v>52756.83</v>
      </c>
      <c r="K94" s="189">
        <f t="shared" si="22"/>
        <v>3.898678473332147E-2</v>
      </c>
    </row>
    <row r="95" spans="1:11" ht="42" hidden="1" customHeight="1" x14ac:dyDescent="0.2">
      <c r="A95" s="63" t="s">
        <v>137</v>
      </c>
      <c r="B95" s="124" t="s">
        <v>865</v>
      </c>
      <c r="C95" s="64" t="s">
        <v>138</v>
      </c>
      <c r="D95" s="125" t="s">
        <v>4</v>
      </c>
      <c r="E95" s="65">
        <f>48.4+7</f>
        <v>55.4</v>
      </c>
      <c r="F95" s="65">
        <v>623.23</v>
      </c>
      <c r="G95" s="65">
        <f t="shared" si="23"/>
        <v>34526.94</v>
      </c>
      <c r="H95" s="126">
        <f t="shared" si="19"/>
        <v>779.22</v>
      </c>
      <c r="I95" s="126">
        <f t="shared" si="24"/>
        <v>43169.03</v>
      </c>
      <c r="J95" s="70">
        <f>TRUNC(F95 * E95, 2)</f>
        <v>34526.94</v>
      </c>
      <c r="K95" s="189">
        <f t="shared" si="22"/>
        <v>2.551507310067206E-2</v>
      </c>
    </row>
    <row r="96" spans="1:11" ht="29.25" hidden="1" customHeight="1" x14ac:dyDescent="0.2">
      <c r="A96" s="63" t="s">
        <v>139</v>
      </c>
      <c r="B96" s="124" t="s">
        <v>140</v>
      </c>
      <c r="C96" s="64" t="s">
        <v>141</v>
      </c>
      <c r="D96" s="125" t="s">
        <v>4</v>
      </c>
      <c r="E96" s="65">
        <f>34.3+26</f>
        <v>60.3</v>
      </c>
      <c r="F96" s="65">
        <v>302.32</v>
      </c>
      <c r="G96" s="65">
        <f t="shared" si="23"/>
        <v>18229.89</v>
      </c>
      <c r="H96" s="126">
        <f t="shared" si="19"/>
        <v>377.99</v>
      </c>
      <c r="I96" s="126">
        <f t="shared" si="24"/>
        <v>22792.83</v>
      </c>
      <c r="J96" s="70">
        <f>TRUNC(F96 * E96, 2)</f>
        <v>18229.89</v>
      </c>
      <c r="K96" s="189">
        <f t="shared" si="22"/>
        <v>1.3471711632649406E-2</v>
      </c>
    </row>
    <row r="97" spans="1:11" ht="25.5" hidden="1" x14ac:dyDescent="0.2">
      <c r="A97" s="127" t="s">
        <v>142</v>
      </c>
      <c r="B97" s="128"/>
      <c r="C97" s="66" t="s">
        <v>143</v>
      </c>
      <c r="D97" s="66"/>
      <c r="E97" s="141"/>
      <c r="F97" s="142"/>
      <c r="G97" s="65">
        <f t="shared" si="23"/>
        <v>0</v>
      </c>
      <c r="H97" s="126">
        <f t="shared" si="19"/>
        <v>0</v>
      </c>
      <c r="I97" s="129">
        <v>0</v>
      </c>
      <c r="J97" s="75">
        <v>0</v>
      </c>
      <c r="K97" s="189">
        <f t="shared" si="22"/>
        <v>0</v>
      </c>
    </row>
    <row r="98" spans="1:11" x14ac:dyDescent="0.2">
      <c r="A98" s="127" t="s">
        <v>1031</v>
      </c>
      <c r="B98" s="128"/>
      <c r="C98" s="66" t="s">
        <v>144</v>
      </c>
      <c r="D98" s="66"/>
      <c r="E98" s="141"/>
      <c r="F98" s="143">
        <f>SUM(F99:F106)</f>
        <v>5588.32</v>
      </c>
      <c r="G98" s="143">
        <f>SUM(G99:G106)</f>
        <v>50723.700000000004</v>
      </c>
      <c r="H98" s="129">
        <f>SUM(H99:H106)</f>
        <v>6987.0300000000007</v>
      </c>
      <c r="I98" s="129">
        <f>SUM(I99:I106)</f>
        <v>63419.789999999994</v>
      </c>
      <c r="J98" s="75">
        <f>SUM(J99:J106)</f>
        <v>50723.700000000004</v>
      </c>
      <c r="K98" s="189">
        <f t="shared" si="22"/>
        <v>3.7484293204625416E-2</v>
      </c>
    </row>
    <row r="99" spans="1:11" ht="29.25" hidden="1" customHeight="1" x14ac:dyDescent="0.2">
      <c r="A99" s="63" t="s">
        <v>1032</v>
      </c>
      <c r="B99" s="124" t="s">
        <v>146</v>
      </c>
      <c r="C99" s="64" t="s">
        <v>147</v>
      </c>
      <c r="D99" s="125" t="s">
        <v>168</v>
      </c>
      <c r="E99" s="65">
        <f>26+13</f>
        <v>39</v>
      </c>
      <c r="F99" s="65">
        <v>326.83</v>
      </c>
      <c r="G99" s="65">
        <f t="shared" si="23"/>
        <v>12746.37</v>
      </c>
      <c r="H99" s="126">
        <f t="shared" si="19"/>
        <v>408.63</v>
      </c>
      <c r="I99" s="126">
        <f t="shared" ref="I99:I119" si="25">TRUNC(G99*(1+I$8),2)</f>
        <v>15936.78</v>
      </c>
      <c r="J99" s="70">
        <f>TRUNC(F99* E99, 2)</f>
        <v>12746.37</v>
      </c>
      <c r="K99" s="189">
        <f t="shared" ref="K99:K106" si="26">I99/$I$98</f>
        <v>0.25129033066807699</v>
      </c>
    </row>
    <row r="100" spans="1:11" ht="42" hidden="1" customHeight="1" x14ac:dyDescent="0.2">
      <c r="A100" s="63" t="s">
        <v>1033</v>
      </c>
      <c r="B100" s="124" t="s">
        <v>148</v>
      </c>
      <c r="C100" s="64" t="s">
        <v>149</v>
      </c>
      <c r="D100" s="125" t="s">
        <v>168</v>
      </c>
      <c r="E100" s="65">
        <f>6+3</f>
        <v>9</v>
      </c>
      <c r="F100" s="65">
        <v>1045.0999999999999</v>
      </c>
      <c r="G100" s="65">
        <f t="shared" si="23"/>
        <v>9405.9</v>
      </c>
      <c r="H100" s="126">
        <f t="shared" si="19"/>
        <v>1306.68</v>
      </c>
      <c r="I100" s="126">
        <f t="shared" si="25"/>
        <v>11760.19</v>
      </c>
      <c r="J100" s="70">
        <f t="shared" ref="J100:J106" si="27">TRUNC(F100* E100, 2)</f>
        <v>9405.9</v>
      </c>
      <c r="K100" s="189">
        <f t="shared" si="26"/>
        <v>0.18543407349661678</v>
      </c>
    </row>
    <row r="101" spans="1:11" ht="27.75" hidden="1" customHeight="1" x14ac:dyDescent="0.2">
      <c r="A101" s="63" t="s">
        <v>1034</v>
      </c>
      <c r="B101" s="124" t="s">
        <v>150</v>
      </c>
      <c r="C101" s="64" t="s">
        <v>151</v>
      </c>
      <c r="D101" s="125" t="s">
        <v>168</v>
      </c>
      <c r="E101" s="65">
        <f>10+5</f>
        <v>15</v>
      </c>
      <c r="F101" s="65">
        <v>254.79</v>
      </c>
      <c r="G101" s="65">
        <f t="shared" si="23"/>
        <v>3821.85</v>
      </c>
      <c r="H101" s="126">
        <f t="shared" si="19"/>
        <v>318.56</v>
      </c>
      <c r="I101" s="126">
        <f t="shared" si="25"/>
        <v>4778.45</v>
      </c>
      <c r="J101" s="70">
        <f t="shared" si="27"/>
        <v>3821.85</v>
      </c>
      <c r="K101" s="189">
        <f t="shared" si="26"/>
        <v>7.5346354820790176E-2</v>
      </c>
    </row>
    <row r="102" spans="1:11" ht="28.5" hidden="1" customHeight="1" x14ac:dyDescent="0.2">
      <c r="A102" s="63" t="s">
        <v>1035</v>
      </c>
      <c r="B102" s="124" t="s">
        <v>152</v>
      </c>
      <c r="C102" s="64" t="s">
        <v>153</v>
      </c>
      <c r="D102" s="125" t="s">
        <v>168</v>
      </c>
      <c r="E102" s="65">
        <f>3+2</f>
        <v>5</v>
      </c>
      <c r="F102" s="65">
        <v>233.67</v>
      </c>
      <c r="G102" s="65">
        <f t="shared" si="23"/>
        <v>1168.3499999999999</v>
      </c>
      <c r="H102" s="126">
        <f t="shared" si="19"/>
        <v>292.14999999999998</v>
      </c>
      <c r="I102" s="126">
        <f t="shared" si="25"/>
        <v>1460.78</v>
      </c>
      <c r="J102" s="70">
        <f t="shared" si="27"/>
        <v>1168.3499999999999</v>
      </c>
      <c r="K102" s="189">
        <f t="shared" si="26"/>
        <v>2.3033504210594202E-2</v>
      </c>
    </row>
    <row r="103" spans="1:11" ht="27" hidden="1" customHeight="1" x14ac:dyDescent="0.2">
      <c r="A103" s="63" t="s">
        <v>1036</v>
      </c>
      <c r="B103" s="124" t="s">
        <v>154</v>
      </c>
      <c r="C103" s="64" t="s">
        <v>155</v>
      </c>
      <c r="D103" s="125" t="s">
        <v>168</v>
      </c>
      <c r="E103" s="65">
        <f>3+2</f>
        <v>5</v>
      </c>
      <c r="F103" s="65">
        <v>228.04</v>
      </c>
      <c r="G103" s="65">
        <f t="shared" si="23"/>
        <v>1140.2</v>
      </c>
      <c r="H103" s="126">
        <f t="shared" si="19"/>
        <v>285.11</v>
      </c>
      <c r="I103" s="126">
        <f t="shared" si="25"/>
        <v>1425.59</v>
      </c>
      <c r="J103" s="70">
        <f t="shared" si="27"/>
        <v>1140.2</v>
      </c>
      <c r="K103" s="189">
        <f t="shared" si="26"/>
        <v>2.2478630093224844E-2</v>
      </c>
    </row>
    <row r="104" spans="1:11" ht="30" hidden="1" customHeight="1" x14ac:dyDescent="0.2">
      <c r="A104" s="63" t="s">
        <v>1037</v>
      </c>
      <c r="B104" s="124" t="s">
        <v>156</v>
      </c>
      <c r="C104" s="64" t="s">
        <v>157</v>
      </c>
      <c r="D104" s="125" t="s">
        <v>168</v>
      </c>
      <c r="E104" s="65">
        <f>3+2</f>
        <v>5</v>
      </c>
      <c r="F104" s="65">
        <v>1029.0999999999999</v>
      </c>
      <c r="G104" s="65">
        <f t="shared" si="23"/>
        <v>5145.5</v>
      </c>
      <c r="H104" s="126">
        <f t="shared" si="19"/>
        <v>1286.68</v>
      </c>
      <c r="I104" s="126">
        <f t="shared" si="25"/>
        <v>6433.41</v>
      </c>
      <c r="J104" s="70">
        <f t="shared" si="27"/>
        <v>5145.5</v>
      </c>
      <c r="K104" s="189">
        <f t="shared" si="26"/>
        <v>0.10144167932438755</v>
      </c>
    </row>
    <row r="105" spans="1:11" ht="27" hidden="1" customHeight="1" x14ac:dyDescent="0.2">
      <c r="A105" s="63" t="s">
        <v>1038</v>
      </c>
      <c r="B105" s="124" t="s">
        <v>158</v>
      </c>
      <c r="C105" s="64" t="s">
        <v>159</v>
      </c>
      <c r="D105" s="125" t="s">
        <v>168</v>
      </c>
      <c r="E105" s="65">
        <f>3+4</f>
        <v>7</v>
      </c>
      <c r="F105" s="65">
        <v>1166.6300000000001</v>
      </c>
      <c r="G105" s="65">
        <f t="shared" si="23"/>
        <v>8166.41</v>
      </c>
      <c r="H105" s="126">
        <f t="shared" si="19"/>
        <v>1458.63</v>
      </c>
      <c r="I105" s="126">
        <f t="shared" si="25"/>
        <v>10210.459999999999</v>
      </c>
      <c r="J105" s="70">
        <f t="shared" si="27"/>
        <v>8166.41</v>
      </c>
      <c r="K105" s="189">
        <f t="shared" si="26"/>
        <v>0.16099801024254418</v>
      </c>
    </row>
    <row r="106" spans="1:11" ht="28.5" hidden="1" customHeight="1" x14ac:dyDescent="0.2">
      <c r="A106" s="63" t="s">
        <v>1039</v>
      </c>
      <c r="B106" s="124" t="s">
        <v>160</v>
      </c>
      <c r="C106" s="64" t="s">
        <v>161</v>
      </c>
      <c r="D106" s="125" t="s">
        <v>168</v>
      </c>
      <c r="E106" s="65">
        <f>3+4</f>
        <v>7</v>
      </c>
      <c r="F106" s="65">
        <v>1304.1600000000001</v>
      </c>
      <c r="G106" s="65">
        <f t="shared" si="23"/>
        <v>9129.1200000000008</v>
      </c>
      <c r="H106" s="126">
        <f t="shared" si="19"/>
        <v>1630.59</v>
      </c>
      <c r="I106" s="126">
        <f t="shared" si="25"/>
        <v>11414.13</v>
      </c>
      <c r="J106" s="70">
        <f t="shared" si="27"/>
        <v>9129.1200000000008</v>
      </c>
      <c r="K106" s="189">
        <f t="shared" si="26"/>
        <v>0.17997741714376539</v>
      </c>
    </row>
    <row r="107" spans="1:11" x14ac:dyDescent="0.2">
      <c r="A107" s="127" t="s">
        <v>1040</v>
      </c>
      <c r="B107" s="128"/>
      <c r="C107" s="66" t="s">
        <v>163</v>
      </c>
      <c r="D107" s="66"/>
      <c r="E107" s="141"/>
      <c r="F107" s="143">
        <f>F108+F109</f>
        <v>3456.6</v>
      </c>
      <c r="G107" s="143">
        <f>G108+G109</f>
        <v>39815.759999999995</v>
      </c>
      <c r="H107" s="129">
        <f>H108+H109</f>
        <v>4321.7700000000004</v>
      </c>
      <c r="I107" s="129">
        <f>SUM(I108:I109)</f>
        <v>49781.64</v>
      </c>
      <c r="J107" s="75">
        <f>SUM(J108:J109)</f>
        <v>39815.759999999995</v>
      </c>
      <c r="K107" s="189">
        <f>I107/$I$407</f>
        <v>2.9423458986021698E-2</v>
      </c>
    </row>
    <row r="108" spans="1:11" ht="19.5" hidden="1" customHeight="1" x14ac:dyDescent="0.2">
      <c r="A108" s="63" t="s">
        <v>145</v>
      </c>
      <c r="B108" s="124" t="s">
        <v>866</v>
      </c>
      <c r="C108" s="64" t="s">
        <v>165</v>
      </c>
      <c r="D108" s="125" t="s">
        <v>4</v>
      </c>
      <c r="E108" s="65">
        <f>15.4+13.6</f>
        <v>29</v>
      </c>
      <c r="F108" s="65">
        <v>709.98</v>
      </c>
      <c r="G108" s="65">
        <f t="shared" si="23"/>
        <v>20589.419999999998</v>
      </c>
      <c r="H108" s="126">
        <f t="shared" si="19"/>
        <v>887.68</v>
      </c>
      <c r="I108" s="126">
        <f t="shared" si="25"/>
        <v>25742.95</v>
      </c>
      <c r="J108" s="70">
        <f>TRUNC(F108 * E108, 2)</f>
        <v>20589.419999999998</v>
      </c>
      <c r="K108" s="189">
        <f>I108/$I$107</f>
        <v>0.51711735491237332</v>
      </c>
    </row>
    <row r="109" spans="1:11" ht="69" hidden="1" customHeight="1" x14ac:dyDescent="0.2">
      <c r="A109" s="63" t="s">
        <v>1041</v>
      </c>
      <c r="B109" s="130" t="s">
        <v>166</v>
      </c>
      <c r="C109" s="64" t="s">
        <v>167</v>
      </c>
      <c r="D109" s="125" t="s">
        <v>168</v>
      </c>
      <c r="E109" s="65">
        <f>4+3</f>
        <v>7</v>
      </c>
      <c r="F109" s="65">
        <v>2746.62</v>
      </c>
      <c r="G109" s="65">
        <f t="shared" si="23"/>
        <v>19226.34</v>
      </c>
      <c r="H109" s="126">
        <f t="shared" si="19"/>
        <v>3434.09</v>
      </c>
      <c r="I109" s="126">
        <f t="shared" si="25"/>
        <v>24038.69</v>
      </c>
      <c r="J109" s="70">
        <f>TRUNC(F109 * E109, 2)</f>
        <v>19226.34</v>
      </c>
      <c r="K109" s="189">
        <f>I109/$I$107</f>
        <v>0.48288264508762668</v>
      </c>
    </row>
    <row r="110" spans="1:11" x14ac:dyDescent="0.2">
      <c r="A110" s="127" t="s">
        <v>162</v>
      </c>
      <c r="B110" s="131"/>
      <c r="C110" s="66" t="s">
        <v>169</v>
      </c>
      <c r="D110" s="66"/>
      <c r="E110" s="141"/>
      <c r="F110" s="143">
        <f>F111+F112+F113</f>
        <v>937.02</v>
      </c>
      <c r="G110" s="143">
        <f>G111+G112+G113</f>
        <v>31915.32</v>
      </c>
      <c r="H110" s="129">
        <f>H111+H112+H113</f>
        <v>1171.53</v>
      </c>
      <c r="I110" s="129">
        <f>SUM(I111:I113)</f>
        <v>39903.71</v>
      </c>
      <c r="J110" s="75">
        <f>SUM(J111:J113)</f>
        <v>31915.32</v>
      </c>
      <c r="K110" s="189">
        <f>I110/$I$407</f>
        <v>2.3585104359259836E-2</v>
      </c>
    </row>
    <row r="111" spans="1:11" ht="66.75" hidden="1" customHeight="1" x14ac:dyDescent="0.2">
      <c r="A111" s="63" t="s">
        <v>164</v>
      </c>
      <c r="B111" s="130" t="s">
        <v>171</v>
      </c>
      <c r="C111" s="64" t="s">
        <v>172</v>
      </c>
      <c r="D111" s="125" t="s">
        <v>4</v>
      </c>
      <c r="E111" s="65">
        <f>9.25+22.35</f>
        <v>31.6</v>
      </c>
      <c r="F111" s="65">
        <v>338.19</v>
      </c>
      <c r="G111" s="65">
        <f t="shared" si="23"/>
        <v>10686.8</v>
      </c>
      <c r="H111" s="126">
        <f t="shared" si="19"/>
        <v>422.83</v>
      </c>
      <c r="I111" s="126">
        <f t="shared" si="25"/>
        <v>13361.7</v>
      </c>
      <c r="J111" s="70">
        <f>TRUNC(F111 * E111, 2)</f>
        <v>10686.8</v>
      </c>
      <c r="K111" s="189">
        <f>I111/$I$110</f>
        <v>0.33484856420618536</v>
      </c>
    </row>
    <row r="112" spans="1:11" ht="56.25" hidden="1" customHeight="1" x14ac:dyDescent="0.2">
      <c r="A112" s="63" t="s">
        <v>1042</v>
      </c>
      <c r="B112" s="130" t="s">
        <v>173</v>
      </c>
      <c r="C112" s="64" t="s">
        <v>174</v>
      </c>
      <c r="D112" s="125" t="s">
        <v>4</v>
      </c>
      <c r="E112" s="65">
        <f>12.35+23.1</f>
        <v>35.450000000000003</v>
      </c>
      <c r="F112" s="65">
        <v>258.39999999999998</v>
      </c>
      <c r="G112" s="65">
        <f t="shared" si="23"/>
        <v>9160.2800000000007</v>
      </c>
      <c r="H112" s="126">
        <f t="shared" si="19"/>
        <v>323.07</v>
      </c>
      <c r="I112" s="126">
        <f t="shared" si="25"/>
        <v>11453.09</v>
      </c>
      <c r="J112" s="70">
        <f>TRUNC(F112 * E112, 2)</f>
        <v>9160.2800000000007</v>
      </c>
      <c r="K112" s="189">
        <f>I112/$I$110</f>
        <v>0.28701817450056649</v>
      </c>
    </row>
    <row r="113" spans="1:11" ht="27.75" hidden="1" customHeight="1" x14ac:dyDescent="0.2">
      <c r="A113" s="63" t="s">
        <v>1043</v>
      </c>
      <c r="B113" s="130" t="s">
        <v>175</v>
      </c>
      <c r="C113" s="64" t="s">
        <v>176</v>
      </c>
      <c r="D113" s="125" t="s">
        <v>4</v>
      </c>
      <c r="E113" s="65">
        <f>12.35+23.1</f>
        <v>35.450000000000003</v>
      </c>
      <c r="F113" s="65">
        <v>340.43</v>
      </c>
      <c r="G113" s="65">
        <f t="shared" si="23"/>
        <v>12068.24</v>
      </c>
      <c r="H113" s="126">
        <f t="shared" si="19"/>
        <v>425.63</v>
      </c>
      <c r="I113" s="126">
        <f t="shared" si="25"/>
        <v>15088.92</v>
      </c>
      <c r="J113" s="70">
        <f>TRUNC(F113 * E113, 2)</f>
        <v>12068.24</v>
      </c>
      <c r="K113" s="189">
        <f>I113/$I$110</f>
        <v>0.3781332612932482</v>
      </c>
    </row>
    <row r="114" spans="1:11" x14ac:dyDescent="0.2">
      <c r="A114" s="127" t="s">
        <v>1044</v>
      </c>
      <c r="B114" s="128"/>
      <c r="C114" s="66" t="s">
        <v>177</v>
      </c>
      <c r="D114" s="66"/>
      <c r="E114" s="141"/>
      <c r="F114" s="143">
        <f>F115+F116</f>
        <v>1651.6</v>
      </c>
      <c r="G114" s="143">
        <f>G115+G116</f>
        <v>12224.22</v>
      </c>
      <c r="H114" s="129">
        <f>H115+H116</f>
        <v>2064.98</v>
      </c>
      <c r="I114" s="129">
        <f>SUM(I115:I116)</f>
        <v>15283.93</v>
      </c>
      <c r="J114" s="75">
        <f>SUM(J115:J116)</f>
        <v>12224.22</v>
      </c>
      <c r="K114" s="189">
        <f>I114/$I$407</f>
        <v>9.033573170755857E-3</v>
      </c>
    </row>
    <row r="115" spans="1:11" ht="29.25" hidden="1" customHeight="1" x14ac:dyDescent="0.2">
      <c r="A115" s="63" t="s">
        <v>170</v>
      </c>
      <c r="B115" s="124" t="s">
        <v>179</v>
      </c>
      <c r="C115" s="64" t="s">
        <v>180</v>
      </c>
      <c r="D115" s="125" t="s">
        <v>168</v>
      </c>
      <c r="E115" s="65">
        <f>6+3</f>
        <v>9</v>
      </c>
      <c r="F115" s="65">
        <v>771.54</v>
      </c>
      <c r="G115" s="65">
        <f t="shared" si="23"/>
        <v>6943.86</v>
      </c>
      <c r="H115" s="126">
        <f t="shared" si="19"/>
        <v>964.65</v>
      </c>
      <c r="I115" s="126">
        <f t="shared" si="25"/>
        <v>8681.9</v>
      </c>
      <c r="J115" s="70">
        <f>TRUNC(F115* E115, 2)</f>
        <v>6943.86</v>
      </c>
      <c r="K115" s="189">
        <f>I115/$I$114</f>
        <v>0.56804107320564801</v>
      </c>
    </row>
    <row r="116" spans="1:11" ht="42.75" hidden="1" customHeight="1" x14ac:dyDescent="0.2">
      <c r="A116" s="63" t="s">
        <v>1045</v>
      </c>
      <c r="B116" s="124" t="s">
        <v>181</v>
      </c>
      <c r="C116" s="64" t="s">
        <v>182</v>
      </c>
      <c r="D116" s="125" t="s">
        <v>168</v>
      </c>
      <c r="E116" s="65">
        <f>4+2</f>
        <v>6</v>
      </c>
      <c r="F116" s="65">
        <v>880.06</v>
      </c>
      <c r="G116" s="65">
        <f t="shared" si="23"/>
        <v>5280.36</v>
      </c>
      <c r="H116" s="126">
        <f t="shared" si="19"/>
        <v>1100.33</v>
      </c>
      <c r="I116" s="126">
        <f t="shared" si="25"/>
        <v>6602.03</v>
      </c>
      <c r="J116" s="70">
        <f>TRUNC(F116 * E116, 2)</f>
        <v>5280.36</v>
      </c>
      <c r="K116" s="189">
        <f>I116/$I$114</f>
        <v>0.43195892679435194</v>
      </c>
    </row>
    <row r="117" spans="1:11" x14ac:dyDescent="0.2">
      <c r="A117" s="127" t="s">
        <v>1046</v>
      </c>
      <c r="B117" s="128"/>
      <c r="C117" s="66" t="s">
        <v>183</v>
      </c>
      <c r="D117" s="66"/>
      <c r="E117" s="141"/>
      <c r="F117" s="143">
        <f>F118+F119</f>
        <v>1555.8600000000001</v>
      </c>
      <c r="G117" s="143">
        <f>G118+G119</f>
        <v>20664.28</v>
      </c>
      <c r="H117" s="129">
        <f>H118+H119</f>
        <v>1945.29</v>
      </c>
      <c r="I117" s="129">
        <f>SUM(I118:I119)</f>
        <v>25836.54</v>
      </c>
      <c r="J117" s="75">
        <f>SUM(J118:J119)</f>
        <v>20664.28</v>
      </c>
      <c r="K117" s="189">
        <f>I117/$I$407</f>
        <v>1.5270697691572818E-2</v>
      </c>
    </row>
    <row r="118" spans="1:11" ht="18.75" hidden="1" customHeight="1" x14ac:dyDescent="0.2">
      <c r="A118" s="63" t="s">
        <v>178</v>
      </c>
      <c r="B118" s="124" t="s">
        <v>184</v>
      </c>
      <c r="C118" s="64" t="s">
        <v>185</v>
      </c>
      <c r="D118" s="125" t="s">
        <v>168</v>
      </c>
      <c r="E118" s="65">
        <f>3+4</f>
        <v>7</v>
      </c>
      <c r="F118" s="65">
        <v>800</v>
      </c>
      <c r="G118" s="65">
        <f t="shared" si="23"/>
        <v>5600</v>
      </c>
      <c r="H118" s="126">
        <f t="shared" si="19"/>
        <v>1000.24</v>
      </c>
      <c r="I118" s="126">
        <f t="shared" si="25"/>
        <v>7001.68</v>
      </c>
      <c r="J118" s="70">
        <f>TRUNC(F118* E118, 2)</f>
        <v>5600</v>
      </c>
      <c r="K118" s="189">
        <f>I118/$I$117</f>
        <v>0.27099913533313669</v>
      </c>
    </row>
    <row r="119" spans="1:11" ht="30" hidden="1" customHeight="1" x14ac:dyDescent="0.2">
      <c r="A119" s="63" t="s">
        <v>1047</v>
      </c>
      <c r="B119" s="124" t="s">
        <v>186</v>
      </c>
      <c r="C119" s="64" t="s">
        <v>187</v>
      </c>
      <c r="D119" s="125" t="s">
        <v>4</v>
      </c>
      <c r="E119" s="65">
        <f>12.25+7.68</f>
        <v>19.93</v>
      </c>
      <c r="F119" s="65">
        <v>755.86</v>
      </c>
      <c r="G119" s="65">
        <f t="shared" si="23"/>
        <v>15064.28</v>
      </c>
      <c r="H119" s="126">
        <f t="shared" si="19"/>
        <v>945.05</v>
      </c>
      <c r="I119" s="126">
        <f t="shared" si="25"/>
        <v>18834.86</v>
      </c>
      <c r="J119" s="214">
        <f>TRUNC(F119* E119, 2)</f>
        <v>15064.28</v>
      </c>
      <c r="K119" s="207">
        <f>I119/$I$117</f>
        <v>0.72900086466686331</v>
      </c>
    </row>
    <row r="120" spans="1:11" x14ac:dyDescent="0.2">
      <c r="A120" s="127" t="s">
        <v>188</v>
      </c>
      <c r="B120" s="128"/>
      <c r="C120" s="66" t="s">
        <v>189</v>
      </c>
      <c r="D120" s="66"/>
      <c r="E120" s="141"/>
      <c r="F120" s="143">
        <f>F121+F129+F132</f>
        <v>2583.44</v>
      </c>
      <c r="G120" s="143">
        <f>G121+G129+G132</f>
        <v>33285.760000000002</v>
      </c>
      <c r="H120" s="129">
        <f>H121+H129+H132</f>
        <v>3230.0200000000004</v>
      </c>
      <c r="I120" s="129">
        <f>I121+I129+I132</f>
        <v>41617.119999999995</v>
      </c>
      <c r="J120" s="75">
        <f>J121+J129+J132</f>
        <v>33285.760000000002</v>
      </c>
      <c r="K120" s="189">
        <f>I120/$I$407</f>
        <v>2.4597816050984725E-2</v>
      </c>
    </row>
    <row r="121" spans="1:11" ht="25.5" x14ac:dyDescent="0.2">
      <c r="A121" s="127" t="s">
        <v>190</v>
      </c>
      <c r="B121" s="128"/>
      <c r="C121" s="66" t="s">
        <v>191</v>
      </c>
      <c r="D121" s="66"/>
      <c r="E121" s="141"/>
      <c r="F121" s="143">
        <f>SUM(F122:F128)</f>
        <v>2124.42</v>
      </c>
      <c r="G121" s="143">
        <f>G122+G123+G124+G125+G126+G127+G128</f>
        <v>24979.650000000005</v>
      </c>
      <c r="H121" s="129">
        <f>SUM(H122:H128)</f>
        <v>2656.13</v>
      </c>
      <c r="I121" s="129">
        <f>SUM(I122:I128)</f>
        <v>31232.019999999997</v>
      </c>
      <c r="J121" s="75">
        <f>SUM(J122:J128)</f>
        <v>24979.650000000005</v>
      </c>
      <c r="K121" s="189">
        <f>I121/$I$407</f>
        <v>1.8459698385200032E-2</v>
      </c>
    </row>
    <row r="122" spans="1:11" ht="28.5" hidden="1" customHeight="1" x14ac:dyDescent="0.2">
      <c r="A122" s="63" t="s">
        <v>192</v>
      </c>
      <c r="B122" s="124" t="s">
        <v>867</v>
      </c>
      <c r="C122" s="64" t="s">
        <v>193</v>
      </c>
      <c r="D122" s="125" t="s">
        <v>168</v>
      </c>
      <c r="E122" s="65">
        <v>84</v>
      </c>
      <c r="F122" s="65">
        <v>156.16999999999999</v>
      </c>
      <c r="G122" s="65">
        <f t="shared" ref="G122:G141" si="28">TRUNC(E122*F122,2)</f>
        <v>13118.28</v>
      </c>
      <c r="H122" s="126">
        <f t="shared" si="19"/>
        <v>195.25</v>
      </c>
      <c r="I122" s="126">
        <f t="shared" ref="I122:I141" si="29">TRUNC(G122*(1+I$8),2)</f>
        <v>16401.78</v>
      </c>
      <c r="J122" s="70">
        <f>TRUNC(F122 * E122, 2)</f>
        <v>13118.28</v>
      </c>
      <c r="K122" s="189">
        <f t="shared" ref="K122:K128" si="30">I122/$I$121</f>
        <v>0.52515911554872208</v>
      </c>
    </row>
    <row r="123" spans="1:11" ht="28.5" hidden="1" customHeight="1" x14ac:dyDescent="0.2">
      <c r="A123" s="63" t="s">
        <v>194</v>
      </c>
      <c r="B123" s="124" t="s">
        <v>868</v>
      </c>
      <c r="C123" s="64" t="s">
        <v>195</v>
      </c>
      <c r="D123" s="125" t="s">
        <v>168</v>
      </c>
      <c r="E123" s="65">
        <v>7</v>
      </c>
      <c r="F123" s="65">
        <v>177.03</v>
      </c>
      <c r="G123" s="65">
        <f t="shared" si="28"/>
        <v>1239.21</v>
      </c>
      <c r="H123" s="126">
        <f t="shared" si="19"/>
        <v>221.34</v>
      </c>
      <c r="I123" s="126">
        <f t="shared" si="29"/>
        <v>1549.38</v>
      </c>
      <c r="J123" s="70">
        <f t="shared" ref="J123:J128" si="31">TRUNC(F123 * E123, 2)</f>
        <v>1239.21</v>
      </c>
      <c r="K123" s="189">
        <f t="shared" si="30"/>
        <v>4.9608702863279425E-2</v>
      </c>
    </row>
    <row r="124" spans="1:11" ht="16.5" hidden="1" customHeight="1" x14ac:dyDescent="0.2">
      <c r="A124" s="63" t="s">
        <v>196</v>
      </c>
      <c r="B124" s="124" t="s">
        <v>869</v>
      </c>
      <c r="C124" s="64" t="s">
        <v>197</v>
      </c>
      <c r="D124" s="125" t="s">
        <v>168</v>
      </c>
      <c r="E124" s="65">
        <v>16</v>
      </c>
      <c r="F124" s="65">
        <v>53.33</v>
      </c>
      <c r="G124" s="65">
        <f t="shared" si="28"/>
        <v>853.28</v>
      </c>
      <c r="H124" s="126">
        <f t="shared" si="19"/>
        <v>66.67</v>
      </c>
      <c r="I124" s="126">
        <f t="shared" si="29"/>
        <v>1066.8499999999999</v>
      </c>
      <c r="J124" s="70">
        <f t="shared" si="31"/>
        <v>853.28</v>
      </c>
      <c r="K124" s="189">
        <f t="shared" si="30"/>
        <v>3.4158853638029174E-2</v>
      </c>
    </row>
    <row r="125" spans="1:11" ht="16.5" hidden="1" customHeight="1" x14ac:dyDescent="0.2">
      <c r="A125" s="63" t="s">
        <v>198</v>
      </c>
      <c r="B125" s="124" t="s">
        <v>870</v>
      </c>
      <c r="C125" s="64" t="s">
        <v>199</v>
      </c>
      <c r="D125" s="125" t="s">
        <v>168</v>
      </c>
      <c r="E125" s="65">
        <v>6</v>
      </c>
      <c r="F125" s="65">
        <v>27.02</v>
      </c>
      <c r="G125" s="65">
        <f t="shared" si="28"/>
        <v>162.12</v>
      </c>
      <c r="H125" s="126">
        <f t="shared" si="19"/>
        <v>33.78</v>
      </c>
      <c r="I125" s="126">
        <f t="shared" si="29"/>
        <v>202.69</v>
      </c>
      <c r="J125" s="70">
        <f t="shared" si="31"/>
        <v>162.12</v>
      </c>
      <c r="K125" s="189">
        <f t="shared" si="30"/>
        <v>6.4898139793711715E-3</v>
      </c>
    </row>
    <row r="126" spans="1:11" ht="16.5" hidden="1" customHeight="1" x14ac:dyDescent="0.2">
      <c r="A126" s="63" t="s">
        <v>200</v>
      </c>
      <c r="B126" s="124" t="s">
        <v>1061</v>
      </c>
      <c r="C126" s="64" t="s">
        <v>201</v>
      </c>
      <c r="D126" s="125" t="s">
        <v>168</v>
      </c>
      <c r="E126" s="65">
        <v>4</v>
      </c>
      <c r="F126" s="65">
        <v>329.23</v>
      </c>
      <c r="G126" s="65">
        <f t="shared" si="28"/>
        <v>1316.92</v>
      </c>
      <c r="H126" s="126">
        <f t="shared" si="19"/>
        <v>411.63</v>
      </c>
      <c r="I126" s="126">
        <f t="shared" si="29"/>
        <v>1646.54</v>
      </c>
      <c r="J126" s="70">
        <f t="shared" si="31"/>
        <v>1316.92</v>
      </c>
      <c r="K126" s="189">
        <f t="shared" si="30"/>
        <v>5.2719612756395522E-2</v>
      </c>
    </row>
    <row r="127" spans="1:11" ht="42.75" hidden="1" customHeight="1" x14ac:dyDescent="0.2">
      <c r="A127" s="63" t="s">
        <v>202</v>
      </c>
      <c r="B127" s="124" t="s">
        <v>871</v>
      </c>
      <c r="C127" s="64" t="s">
        <v>203</v>
      </c>
      <c r="D127" s="125" t="s">
        <v>168</v>
      </c>
      <c r="E127" s="65">
        <v>6</v>
      </c>
      <c r="F127" s="65">
        <v>440.64</v>
      </c>
      <c r="G127" s="65">
        <f t="shared" si="28"/>
        <v>2643.84</v>
      </c>
      <c r="H127" s="126">
        <f t="shared" si="19"/>
        <v>550.92999999999995</v>
      </c>
      <c r="I127" s="126">
        <f t="shared" si="29"/>
        <v>3305.59</v>
      </c>
      <c r="J127" s="70">
        <f t="shared" si="31"/>
        <v>2643.84</v>
      </c>
      <c r="K127" s="189">
        <f t="shared" si="30"/>
        <v>0.10583977597350414</v>
      </c>
    </row>
    <row r="128" spans="1:11" ht="18" hidden="1" customHeight="1" x14ac:dyDescent="0.2">
      <c r="A128" s="63" t="s">
        <v>204</v>
      </c>
      <c r="B128" s="124" t="s">
        <v>872</v>
      </c>
      <c r="C128" s="64" t="s">
        <v>205</v>
      </c>
      <c r="D128" s="125" t="s">
        <v>168</v>
      </c>
      <c r="E128" s="65">
        <v>6</v>
      </c>
      <c r="F128" s="65">
        <v>941</v>
      </c>
      <c r="G128" s="65">
        <f t="shared" si="28"/>
        <v>5646</v>
      </c>
      <c r="H128" s="126">
        <f t="shared" si="19"/>
        <v>1176.53</v>
      </c>
      <c r="I128" s="126">
        <f t="shared" si="29"/>
        <v>7059.19</v>
      </c>
      <c r="J128" s="70">
        <f t="shared" si="31"/>
        <v>5646</v>
      </c>
      <c r="K128" s="189">
        <f t="shared" si="30"/>
        <v>0.22602412524069851</v>
      </c>
    </row>
    <row r="129" spans="1:11" x14ac:dyDescent="0.2">
      <c r="A129" s="127" t="s">
        <v>206</v>
      </c>
      <c r="B129" s="128"/>
      <c r="C129" s="66" t="s">
        <v>207</v>
      </c>
      <c r="D129" s="66"/>
      <c r="E129" s="141"/>
      <c r="F129" s="143">
        <f>F130+F131</f>
        <v>333.2</v>
      </c>
      <c r="G129" s="143">
        <f>G130+G131</f>
        <v>1863.8899999999999</v>
      </c>
      <c r="H129" s="129">
        <f>H130+H131</f>
        <v>416.59000000000003</v>
      </c>
      <c r="I129" s="129">
        <f>SUM(I130:I131)</f>
        <v>2330.41</v>
      </c>
      <c r="J129" s="75">
        <f>SUM(J130:J131)</f>
        <v>1863.8899999999999</v>
      </c>
      <c r="K129" s="189">
        <f>I129/$I$407</f>
        <v>1.3773897978374119E-3</v>
      </c>
    </row>
    <row r="130" spans="1:11" ht="28.5" hidden="1" customHeight="1" x14ac:dyDescent="0.2">
      <c r="A130" s="63" t="s">
        <v>208</v>
      </c>
      <c r="B130" s="124" t="s">
        <v>868</v>
      </c>
      <c r="C130" s="64" t="s">
        <v>195</v>
      </c>
      <c r="D130" s="125" t="s">
        <v>168</v>
      </c>
      <c r="E130" s="65">
        <v>7</v>
      </c>
      <c r="F130" s="65">
        <v>177.03</v>
      </c>
      <c r="G130" s="65">
        <f t="shared" si="28"/>
        <v>1239.21</v>
      </c>
      <c r="H130" s="126">
        <f t="shared" si="19"/>
        <v>221.34</v>
      </c>
      <c r="I130" s="126">
        <f t="shared" si="29"/>
        <v>1549.38</v>
      </c>
      <c r="J130" s="70">
        <f>TRUNC(F130 * E130, 2)</f>
        <v>1239.21</v>
      </c>
      <c r="K130" s="189">
        <f>I130/$I$129</f>
        <v>0.66485296578713626</v>
      </c>
    </row>
    <row r="131" spans="1:11" ht="30" hidden="1" customHeight="1" x14ac:dyDescent="0.2">
      <c r="A131" s="63" t="s">
        <v>209</v>
      </c>
      <c r="B131" s="124" t="s">
        <v>867</v>
      </c>
      <c r="C131" s="64" t="s">
        <v>193</v>
      </c>
      <c r="D131" s="125" t="s">
        <v>168</v>
      </c>
      <c r="E131" s="65">
        <v>4</v>
      </c>
      <c r="F131" s="65">
        <v>156.16999999999999</v>
      </c>
      <c r="G131" s="65">
        <f t="shared" si="28"/>
        <v>624.67999999999995</v>
      </c>
      <c r="H131" s="126">
        <f t="shared" si="19"/>
        <v>195.25</v>
      </c>
      <c r="I131" s="126">
        <f t="shared" si="29"/>
        <v>781.03</v>
      </c>
      <c r="J131" s="70">
        <f>TRUNC(F131 * E131, 2)</f>
        <v>624.67999999999995</v>
      </c>
      <c r="K131" s="189">
        <f>I131/$I$129</f>
        <v>0.33514703421286385</v>
      </c>
    </row>
    <row r="132" spans="1:11" x14ac:dyDescent="0.2">
      <c r="A132" s="127" t="s">
        <v>210</v>
      </c>
      <c r="B132" s="128"/>
      <c r="C132" s="66" t="s">
        <v>211</v>
      </c>
      <c r="D132" s="66"/>
      <c r="E132" s="141"/>
      <c r="F132" s="143">
        <f>F133+F134</f>
        <v>125.82</v>
      </c>
      <c r="G132" s="143">
        <f>G133+G134</f>
        <v>6442.2199999999993</v>
      </c>
      <c r="H132" s="129">
        <f>H133+H134</f>
        <v>157.30000000000001</v>
      </c>
      <c r="I132" s="129">
        <f>SUM(I133:I134)</f>
        <v>8054.69</v>
      </c>
      <c r="J132" s="75">
        <f>SUM(J133:J134)</f>
        <v>6442.2199999999993</v>
      </c>
      <c r="K132" s="189">
        <f>I132/$I$407</f>
        <v>4.7607278679472811E-3</v>
      </c>
    </row>
    <row r="133" spans="1:11" ht="24" hidden="1" x14ac:dyDescent="0.2">
      <c r="A133" s="63" t="s">
        <v>212</v>
      </c>
      <c r="B133" s="124" t="s">
        <v>213</v>
      </c>
      <c r="C133" s="64" t="s">
        <v>214</v>
      </c>
      <c r="D133" s="125" t="s">
        <v>168</v>
      </c>
      <c r="E133" s="65">
        <v>84</v>
      </c>
      <c r="F133" s="65">
        <v>36.11</v>
      </c>
      <c r="G133" s="65">
        <f t="shared" si="28"/>
        <v>3033.24</v>
      </c>
      <c r="H133" s="126">
        <f t="shared" si="19"/>
        <v>45.14</v>
      </c>
      <c r="I133" s="126">
        <f t="shared" si="29"/>
        <v>3792.45</v>
      </c>
      <c r="J133" s="70">
        <f>TRUNC(F133* E133, 2)</f>
        <v>3033.24</v>
      </c>
      <c r="K133" s="189">
        <f>I133/$I$132</f>
        <v>0.470837487227938</v>
      </c>
    </row>
    <row r="134" spans="1:11" ht="24" hidden="1" x14ac:dyDescent="0.2">
      <c r="A134" s="63" t="s">
        <v>215</v>
      </c>
      <c r="B134" s="124" t="s">
        <v>216</v>
      </c>
      <c r="C134" s="64" t="s">
        <v>217</v>
      </c>
      <c r="D134" s="125" t="s">
        <v>168</v>
      </c>
      <c r="E134" s="65">
        <v>38</v>
      </c>
      <c r="F134" s="65">
        <v>89.71</v>
      </c>
      <c r="G134" s="65">
        <f t="shared" si="28"/>
        <v>3408.98</v>
      </c>
      <c r="H134" s="126">
        <f t="shared" si="19"/>
        <v>112.16</v>
      </c>
      <c r="I134" s="126">
        <f t="shared" si="29"/>
        <v>4262.24</v>
      </c>
      <c r="J134" s="70">
        <f>TRUNC(F134 * E134, 2)</f>
        <v>3408.98</v>
      </c>
      <c r="K134" s="189">
        <f>I134/$I$132</f>
        <v>0.52916251277206194</v>
      </c>
    </row>
    <row r="135" spans="1:11" x14ac:dyDescent="0.2">
      <c r="A135" s="127" t="s">
        <v>218</v>
      </c>
      <c r="B135" s="128"/>
      <c r="C135" s="66" t="s">
        <v>219</v>
      </c>
      <c r="D135" s="66"/>
      <c r="E135" s="141"/>
      <c r="F135" s="143">
        <f>F136+F137+F138+F139+F140+F141</f>
        <v>2268.94</v>
      </c>
      <c r="G135" s="143">
        <f>G136+G137+G138+G139+G140+G141</f>
        <v>59481.18</v>
      </c>
      <c r="H135" s="129">
        <f>SUM(H136:H141)</f>
        <v>2836.83</v>
      </c>
      <c r="I135" s="129">
        <f>SUM(I136:I141)</f>
        <v>74369.279999999999</v>
      </c>
      <c r="J135" s="75">
        <f>SUM(J136:J141)</f>
        <v>59481.18</v>
      </c>
      <c r="K135" s="189">
        <f>I135/$I$407</f>
        <v>4.395599381418458E-2</v>
      </c>
    </row>
    <row r="136" spans="1:11" ht="30" hidden="1" customHeight="1" x14ac:dyDescent="0.2">
      <c r="A136" s="63" t="s">
        <v>220</v>
      </c>
      <c r="B136" s="124" t="s">
        <v>873</v>
      </c>
      <c r="C136" s="64" t="s">
        <v>221</v>
      </c>
      <c r="D136" s="125" t="s">
        <v>4</v>
      </c>
      <c r="E136" s="65">
        <v>8.8000000000000007</v>
      </c>
      <c r="F136" s="65">
        <v>299.29000000000002</v>
      </c>
      <c r="G136" s="65">
        <f t="shared" si="28"/>
        <v>2633.75</v>
      </c>
      <c r="H136" s="126">
        <f t="shared" si="19"/>
        <v>374.2</v>
      </c>
      <c r="I136" s="126">
        <f t="shared" si="29"/>
        <v>3292.97</v>
      </c>
      <c r="J136" s="70">
        <f t="shared" ref="J136:J141" si="32">TRUNC(F136 * E136, 2)</f>
        <v>2633.75</v>
      </c>
      <c r="K136" s="189">
        <f>I136/$I$135</f>
        <v>4.4278632252456929E-2</v>
      </c>
    </row>
    <row r="137" spans="1:11" ht="29.25" hidden="1" customHeight="1" x14ac:dyDescent="0.2">
      <c r="A137" s="63" t="s">
        <v>222</v>
      </c>
      <c r="B137" s="124" t="s">
        <v>874</v>
      </c>
      <c r="C137" s="64" t="s">
        <v>223</v>
      </c>
      <c r="D137" s="125" t="s">
        <v>4</v>
      </c>
      <c r="E137" s="65">
        <v>7.7</v>
      </c>
      <c r="F137" s="65">
        <v>298.72000000000003</v>
      </c>
      <c r="G137" s="65">
        <f t="shared" si="28"/>
        <v>2300.14</v>
      </c>
      <c r="H137" s="126">
        <f t="shared" si="19"/>
        <v>373.48</v>
      </c>
      <c r="I137" s="126">
        <f t="shared" si="29"/>
        <v>2875.86</v>
      </c>
      <c r="J137" s="70">
        <f t="shared" si="32"/>
        <v>2300.14</v>
      </c>
      <c r="K137" s="189">
        <f>I137/$I$132</f>
        <v>0.35704167385709445</v>
      </c>
    </row>
    <row r="138" spans="1:11" ht="27.75" hidden="1" customHeight="1" x14ac:dyDescent="0.2">
      <c r="A138" s="63" t="s">
        <v>224</v>
      </c>
      <c r="B138" s="124" t="s">
        <v>875</v>
      </c>
      <c r="C138" s="64" t="s">
        <v>225</v>
      </c>
      <c r="D138" s="125" t="s">
        <v>4</v>
      </c>
      <c r="E138" s="65">
        <v>6.15</v>
      </c>
      <c r="F138" s="65">
        <v>197.39</v>
      </c>
      <c r="G138" s="65">
        <f t="shared" si="28"/>
        <v>1213.94</v>
      </c>
      <c r="H138" s="126">
        <f t="shared" si="19"/>
        <v>246.79</v>
      </c>
      <c r="I138" s="126">
        <f t="shared" si="29"/>
        <v>1517.78</v>
      </c>
      <c r="J138" s="70">
        <f t="shared" si="32"/>
        <v>1213.94</v>
      </c>
      <c r="K138" s="189">
        <f>I138/$I$135</f>
        <v>2.0408695633465861E-2</v>
      </c>
    </row>
    <row r="139" spans="1:11" s="215" customFormat="1" ht="30.75" customHeight="1" x14ac:dyDescent="0.2">
      <c r="A139" s="63" t="s">
        <v>226</v>
      </c>
      <c r="B139" s="218" t="s">
        <v>227</v>
      </c>
      <c r="C139" s="64" t="s">
        <v>228</v>
      </c>
      <c r="D139" s="125" t="s">
        <v>4</v>
      </c>
      <c r="E139" s="65">
        <v>96.8</v>
      </c>
      <c r="F139" s="65">
        <v>405.89</v>
      </c>
      <c r="G139" s="65">
        <f t="shared" si="28"/>
        <v>39290.15</v>
      </c>
      <c r="H139" s="126">
        <f t="shared" si="19"/>
        <v>507.48</v>
      </c>
      <c r="I139" s="126">
        <f t="shared" si="29"/>
        <v>49124.47</v>
      </c>
      <c r="J139" s="216">
        <f t="shared" si="32"/>
        <v>39290.15</v>
      </c>
      <c r="K139" s="217">
        <f>I139/$I$135</f>
        <v>0.66054787675771509</v>
      </c>
    </row>
    <row r="140" spans="1:11" ht="28.5" hidden="1" customHeight="1" x14ac:dyDescent="0.2">
      <c r="A140" s="63" t="s">
        <v>229</v>
      </c>
      <c r="B140" s="124" t="s">
        <v>876</v>
      </c>
      <c r="C140" s="64" t="s">
        <v>230</v>
      </c>
      <c r="D140" s="125" t="s">
        <v>4</v>
      </c>
      <c r="E140" s="65">
        <v>20.25</v>
      </c>
      <c r="F140" s="65">
        <v>625.86</v>
      </c>
      <c r="G140" s="65">
        <f t="shared" si="28"/>
        <v>12673.66</v>
      </c>
      <c r="H140" s="126">
        <f t="shared" si="19"/>
        <v>782.51</v>
      </c>
      <c r="I140" s="126">
        <f t="shared" si="29"/>
        <v>15845.87</v>
      </c>
      <c r="J140" s="70">
        <f t="shared" si="32"/>
        <v>12673.66</v>
      </c>
      <c r="K140" s="189">
        <f>I140/$I$135</f>
        <v>0.21307010098793483</v>
      </c>
    </row>
    <row r="141" spans="1:11" ht="25.5" hidden="1" x14ac:dyDescent="0.2">
      <c r="A141" s="63" t="s">
        <v>231</v>
      </c>
      <c r="B141" s="124" t="s">
        <v>232</v>
      </c>
      <c r="C141" s="64" t="s">
        <v>233</v>
      </c>
      <c r="D141" s="125" t="s">
        <v>4</v>
      </c>
      <c r="E141" s="65">
        <v>3.1</v>
      </c>
      <c r="F141" s="65">
        <v>441.79</v>
      </c>
      <c r="G141" s="65">
        <f t="shared" si="28"/>
        <v>1369.54</v>
      </c>
      <c r="H141" s="126">
        <f t="shared" si="19"/>
        <v>552.37</v>
      </c>
      <c r="I141" s="126">
        <f t="shared" si="29"/>
        <v>1712.33</v>
      </c>
      <c r="J141" s="70">
        <f t="shared" si="32"/>
        <v>1369.54</v>
      </c>
      <c r="K141" s="189">
        <f>I141/$I$135</f>
        <v>2.302469514294074E-2</v>
      </c>
    </row>
    <row r="142" spans="1:11" x14ac:dyDescent="0.2">
      <c r="A142" s="127" t="s">
        <v>234</v>
      </c>
      <c r="B142" s="128"/>
      <c r="C142" s="66" t="s">
        <v>235</v>
      </c>
      <c r="D142" s="66"/>
      <c r="E142" s="141"/>
      <c r="F142" s="143">
        <f>F143+F146+F149+F151+F154+F158</f>
        <v>869.89</v>
      </c>
      <c r="G142" s="143">
        <f>G143+G146+G149+G151+G154+G158</f>
        <v>83654.209999999992</v>
      </c>
      <c r="H142" s="129">
        <f>H143+H146+H149+H151+H154+H158</f>
        <v>1087.56</v>
      </c>
      <c r="I142" s="129">
        <f>I143+I146+I149+I151+I154+I158</f>
        <v>104592.78</v>
      </c>
      <c r="J142" s="75">
        <f>J143+J146+J149+J151+J154+J158</f>
        <v>83654.209999999992</v>
      </c>
      <c r="K142" s="189">
        <f>I142/$I$407</f>
        <v>6.1819606034754795E-2</v>
      </c>
    </row>
    <row r="143" spans="1:11" x14ac:dyDescent="0.2">
      <c r="A143" s="127" t="s">
        <v>236</v>
      </c>
      <c r="B143" s="128"/>
      <c r="C143" s="66" t="s">
        <v>237</v>
      </c>
      <c r="D143" s="66"/>
      <c r="E143" s="141"/>
      <c r="F143" s="143">
        <f>F144+F145</f>
        <v>91.22</v>
      </c>
      <c r="G143" s="143">
        <f>G144+G145</f>
        <v>5498.28</v>
      </c>
      <c r="H143" s="129">
        <f>H144+H145</f>
        <v>114.03999999999999</v>
      </c>
      <c r="I143" s="129">
        <f>SUM(I144:I145)</f>
        <v>6874.49</v>
      </c>
      <c r="J143" s="75">
        <f>SUM(J144:J145)</f>
        <v>5498.28</v>
      </c>
      <c r="K143" s="189">
        <f>I143/$I$407</f>
        <v>4.0631701680542524E-3</v>
      </c>
    </row>
    <row r="144" spans="1:11" ht="25.5" hidden="1" x14ac:dyDescent="0.2">
      <c r="A144" s="63" t="s">
        <v>238</v>
      </c>
      <c r="B144" s="124" t="s">
        <v>239</v>
      </c>
      <c r="C144" s="64" t="s">
        <v>240</v>
      </c>
      <c r="D144" s="125" t="s">
        <v>4</v>
      </c>
      <c r="E144" s="65">
        <v>28.55</v>
      </c>
      <c r="F144" s="65">
        <v>13.53</v>
      </c>
      <c r="G144" s="65">
        <f t="shared" ref="G144:G172" si="33">TRUNC(E144*F144,2)</f>
        <v>386.28</v>
      </c>
      <c r="H144" s="126">
        <f t="shared" ref="H144:H207" si="34">TRUNC(F144*(1+I$8),2)</f>
        <v>16.91</v>
      </c>
      <c r="I144" s="126">
        <f t="shared" ref="I144:I172" si="35">TRUNC(G144*(1+I$8),2)</f>
        <v>482.96</v>
      </c>
      <c r="J144" s="70">
        <f>TRUNC(F144 * E144, 2)</f>
        <v>386.28</v>
      </c>
      <c r="K144" s="189">
        <f>I144/$I$143</f>
        <v>7.0253938837644678E-2</v>
      </c>
    </row>
    <row r="145" spans="1:11" ht="25.5" x14ac:dyDescent="0.2">
      <c r="A145" s="63" t="s">
        <v>241</v>
      </c>
      <c r="B145" s="124" t="s">
        <v>242</v>
      </c>
      <c r="C145" s="64" t="s">
        <v>243</v>
      </c>
      <c r="D145" s="125" t="s">
        <v>4</v>
      </c>
      <c r="E145" s="65">
        <v>65.8</v>
      </c>
      <c r="F145" s="65">
        <v>77.69</v>
      </c>
      <c r="G145" s="65">
        <f t="shared" si="33"/>
        <v>5112</v>
      </c>
      <c r="H145" s="126">
        <f t="shared" si="34"/>
        <v>97.13</v>
      </c>
      <c r="I145" s="126">
        <f t="shared" si="35"/>
        <v>6391.53</v>
      </c>
      <c r="J145" s="216">
        <f>TRUNC(F145 * E145, 2)</f>
        <v>5112</v>
      </c>
      <c r="K145" s="217">
        <f>I145/$I$143</f>
        <v>0.92974606116235536</v>
      </c>
    </row>
    <row r="146" spans="1:11" x14ac:dyDescent="0.2">
      <c r="A146" s="127" t="s">
        <v>244</v>
      </c>
      <c r="B146" s="128"/>
      <c r="C146" s="66" t="s">
        <v>245</v>
      </c>
      <c r="D146" s="66"/>
      <c r="E146" s="141"/>
      <c r="F146" s="143">
        <f>F147+F148</f>
        <v>25.57</v>
      </c>
      <c r="G146" s="143">
        <f>G147+G148</f>
        <v>1061.73</v>
      </c>
      <c r="H146" s="129">
        <f>H147+H148</f>
        <v>31.96</v>
      </c>
      <c r="I146" s="129">
        <f>SUM(I147:I148)</f>
        <v>1327.4699999999998</v>
      </c>
      <c r="J146" s="75">
        <f>SUM(J147:J148)</f>
        <v>1061.73</v>
      </c>
      <c r="K146" s="189">
        <f>I146/$I$407</f>
        <v>7.8460169452380869E-4</v>
      </c>
    </row>
    <row r="147" spans="1:11" ht="38.25" hidden="1" x14ac:dyDescent="0.2">
      <c r="A147" s="63" t="s">
        <v>246</v>
      </c>
      <c r="B147" s="124" t="s">
        <v>247</v>
      </c>
      <c r="C147" s="64" t="s">
        <v>248</v>
      </c>
      <c r="D147" s="125" t="s">
        <v>4</v>
      </c>
      <c r="E147" s="65">
        <v>28.55</v>
      </c>
      <c r="F147" s="65">
        <v>14.8</v>
      </c>
      <c r="G147" s="65">
        <f t="shared" si="33"/>
        <v>422.54</v>
      </c>
      <c r="H147" s="126">
        <f t="shared" si="34"/>
        <v>18.5</v>
      </c>
      <c r="I147" s="126">
        <f t="shared" si="35"/>
        <v>528.29999999999995</v>
      </c>
      <c r="J147" s="70">
        <f>TRUNC(F147 * E147, 2)</f>
        <v>422.54</v>
      </c>
      <c r="K147" s="189">
        <f>I147/$I$146</f>
        <v>0.3979750954823838</v>
      </c>
    </row>
    <row r="148" spans="1:11" ht="25.5" hidden="1" x14ac:dyDescent="0.2">
      <c r="A148" s="63" t="s">
        <v>249</v>
      </c>
      <c r="B148" s="124" t="s">
        <v>250</v>
      </c>
      <c r="C148" s="64" t="s">
        <v>251</v>
      </c>
      <c r="D148" s="125" t="s">
        <v>4</v>
      </c>
      <c r="E148" s="65">
        <v>59.35</v>
      </c>
      <c r="F148" s="65">
        <v>10.77</v>
      </c>
      <c r="G148" s="65">
        <f t="shared" si="33"/>
        <v>639.19000000000005</v>
      </c>
      <c r="H148" s="126">
        <f t="shared" si="34"/>
        <v>13.46</v>
      </c>
      <c r="I148" s="126">
        <f t="shared" si="35"/>
        <v>799.17</v>
      </c>
      <c r="J148" s="70">
        <f>TRUNC(F148 * E148, 2)</f>
        <v>639.19000000000005</v>
      </c>
      <c r="K148" s="189">
        <f>I148/$I$146</f>
        <v>0.60202490451761626</v>
      </c>
    </row>
    <row r="149" spans="1:11" x14ac:dyDescent="0.2">
      <c r="A149" s="127" t="s">
        <v>252</v>
      </c>
      <c r="B149" s="128"/>
      <c r="C149" s="66" t="s">
        <v>253</v>
      </c>
      <c r="D149" s="66"/>
      <c r="E149" s="141"/>
      <c r="F149" s="143">
        <f>F150</f>
        <v>67.03</v>
      </c>
      <c r="G149" s="143">
        <f>G150</f>
        <v>35378.43</v>
      </c>
      <c r="H149" s="129">
        <f>H150</f>
        <v>83.8</v>
      </c>
      <c r="I149" s="129">
        <f>I150</f>
        <v>44233.65</v>
      </c>
      <c r="J149" s="75">
        <f>J150</f>
        <v>35378.43</v>
      </c>
      <c r="K149" s="189">
        <f t="shared" ref="K149:K154" si="36">I149/$I$407</f>
        <v>2.6144317193588614E-2</v>
      </c>
    </row>
    <row r="150" spans="1:11" ht="42.75" hidden="1" customHeight="1" x14ac:dyDescent="0.2">
      <c r="A150" s="63" t="s">
        <v>254</v>
      </c>
      <c r="B150" s="124" t="s">
        <v>877</v>
      </c>
      <c r="C150" s="64" t="s">
        <v>255</v>
      </c>
      <c r="D150" s="125" t="s">
        <v>4</v>
      </c>
      <c r="E150" s="65">
        <v>527.79999999999995</v>
      </c>
      <c r="F150" s="65">
        <v>67.03</v>
      </c>
      <c r="G150" s="65">
        <f t="shared" si="33"/>
        <v>35378.43</v>
      </c>
      <c r="H150" s="126">
        <f t="shared" si="34"/>
        <v>83.8</v>
      </c>
      <c r="I150" s="126">
        <f t="shared" si="35"/>
        <v>44233.65</v>
      </c>
      <c r="J150" s="70">
        <f>TRUNC(F150 * E150, 2)</f>
        <v>35378.43</v>
      </c>
      <c r="K150" s="189">
        <f t="shared" si="36"/>
        <v>2.6144317193588614E-2</v>
      </c>
    </row>
    <row r="151" spans="1:11" x14ac:dyDescent="0.2">
      <c r="A151" s="127" t="s">
        <v>256</v>
      </c>
      <c r="B151" s="128"/>
      <c r="C151" s="66" t="s">
        <v>257</v>
      </c>
      <c r="D151" s="66"/>
      <c r="E151" s="141"/>
      <c r="F151" s="143">
        <f>F152+F153</f>
        <v>152.16</v>
      </c>
      <c r="G151" s="143">
        <f>G152+G153</f>
        <v>4317.21</v>
      </c>
      <c r="H151" s="129">
        <f>H152+H153</f>
        <v>190.23999999999998</v>
      </c>
      <c r="I151" s="129">
        <f>SUM(I152:I153)</f>
        <v>5397.79</v>
      </c>
      <c r="J151" s="75">
        <f>SUM(J152:J153)</f>
        <v>4317.21</v>
      </c>
      <c r="K151" s="189">
        <f t="shared" si="36"/>
        <v>3.1903660200860813E-3</v>
      </c>
    </row>
    <row r="152" spans="1:11" ht="29.25" hidden="1" customHeight="1" x14ac:dyDescent="0.2">
      <c r="A152" s="63" t="s">
        <v>258</v>
      </c>
      <c r="B152" s="124" t="s">
        <v>878</v>
      </c>
      <c r="C152" s="64" t="s">
        <v>259</v>
      </c>
      <c r="D152" s="125" t="s">
        <v>267</v>
      </c>
      <c r="E152" s="65">
        <v>31</v>
      </c>
      <c r="F152" s="65">
        <v>125.51</v>
      </c>
      <c r="G152" s="65">
        <f t="shared" si="33"/>
        <v>3890.81</v>
      </c>
      <c r="H152" s="126">
        <f t="shared" si="34"/>
        <v>156.91999999999999</v>
      </c>
      <c r="I152" s="126">
        <f t="shared" si="35"/>
        <v>4864.67</v>
      </c>
      <c r="J152" s="70">
        <f>TRUNC(F152 * E152, 2)</f>
        <v>3890.81</v>
      </c>
      <c r="K152" s="189">
        <f t="shared" si="36"/>
        <v>2.8752652227915791E-3</v>
      </c>
    </row>
    <row r="153" spans="1:11" ht="40.5" hidden="1" customHeight="1" x14ac:dyDescent="0.2">
      <c r="A153" s="63" t="s">
        <v>260</v>
      </c>
      <c r="B153" s="124" t="s">
        <v>879</v>
      </c>
      <c r="C153" s="64" t="s">
        <v>261</v>
      </c>
      <c r="D153" s="125" t="s">
        <v>267</v>
      </c>
      <c r="E153" s="65">
        <v>16</v>
      </c>
      <c r="F153" s="65">
        <v>26.65</v>
      </c>
      <c r="G153" s="65">
        <f t="shared" si="33"/>
        <v>426.4</v>
      </c>
      <c r="H153" s="126">
        <f t="shared" si="34"/>
        <v>33.32</v>
      </c>
      <c r="I153" s="126">
        <f t="shared" si="35"/>
        <v>533.12</v>
      </c>
      <c r="J153" s="70">
        <f>TRUNC(F153 * E153, 2)</f>
        <v>426.4</v>
      </c>
      <c r="K153" s="189">
        <f t="shared" si="36"/>
        <v>3.151007972945023E-4</v>
      </c>
    </row>
    <row r="154" spans="1:11" x14ac:dyDescent="0.2">
      <c r="A154" s="127" t="s">
        <v>262</v>
      </c>
      <c r="B154" s="128"/>
      <c r="C154" s="66" t="s">
        <v>263</v>
      </c>
      <c r="D154" s="66"/>
      <c r="E154" s="141"/>
      <c r="F154" s="143">
        <f>F155+F156+F157</f>
        <v>227.28000000000003</v>
      </c>
      <c r="G154" s="143">
        <f>G155+G156+G157</f>
        <v>14110.890000000001</v>
      </c>
      <c r="H154" s="129">
        <f>H155+H156+H157</f>
        <v>284.15999999999997</v>
      </c>
      <c r="I154" s="129">
        <f>SUM(I155:I157)</f>
        <v>17642.829999999998</v>
      </c>
      <c r="J154" s="75">
        <f>SUM(J155:J157)</f>
        <v>14110.890000000001</v>
      </c>
      <c r="K154" s="189">
        <f t="shared" si="36"/>
        <v>1.0427801994919274E-2</v>
      </c>
    </row>
    <row r="155" spans="1:11" ht="29.25" hidden="1" customHeight="1" x14ac:dyDescent="0.2">
      <c r="A155" s="63" t="s">
        <v>264</v>
      </c>
      <c r="B155" s="124" t="s">
        <v>265</v>
      </c>
      <c r="C155" s="64" t="s">
        <v>266</v>
      </c>
      <c r="D155" s="125" t="s">
        <v>267</v>
      </c>
      <c r="E155" s="65">
        <v>93</v>
      </c>
      <c r="F155" s="65">
        <v>86.42</v>
      </c>
      <c r="G155" s="65">
        <f t="shared" si="33"/>
        <v>8037.06</v>
      </c>
      <c r="H155" s="126">
        <f t="shared" si="34"/>
        <v>108.05</v>
      </c>
      <c r="I155" s="126">
        <f t="shared" si="35"/>
        <v>10048.73</v>
      </c>
      <c r="J155" s="70">
        <f>TRUNC(F155* E155, 2)</f>
        <v>8037.06</v>
      </c>
      <c r="K155" s="189">
        <f>I155/$I$154</f>
        <v>0.569564519977804</v>
      </c>
    </row>
    <row r="156" spans="1:11" ht="29.25" hidden="1" customHeight="1" x14ac:dyDescent="0.2">
      <c r="A156" s="63" t="s">
        <v>268</v>
      </c>
      <c r="B156" s="124" t="s">
        <v>880</v>
      </c>
      <c r="C156" s="64" t="s">
        <v>269</v>
      </c>
      <c r="D156" s="125" t="s">
        <v>267</v>
      </c>
      <c r="E156" s="65">
        <v>62</v>
      </c>
      <c r="F156" s="65">
        <v>55.07</v>
      </c>
      <c r="G156" s="65">
        <f t="shared" si="33"/>
        <v>3414.34</v>
      </c>
      <c r="H156" s="126">
        <f t="shared" si="34"/>
        <v>68.849999999999994</v>
      </c>
      <c r="I156" s="126">
        <f t="shared" si="35"/>
        <v>4268.9399999999996</v>
      </c>
      <c r="J156" s="70">
        <f>TRUNC(F156* E156, 2)</f>
        <v>3414.34</v>
      </c>
      <c r="K156" s="189">
        <f>I156/$I$154</f>
        <v>0.24196458277952007</v>
      </c>
    </row>
    <row r="157" spans="1:11" ht="29.25" hidden="1" customHeight="1" x14ac:dyDescent="0.2">
      <c r="A157" s="63" t="s">
        <v>270</v>
      </c>
      <c r="B157" s="124" t="s">
        <v>881</v>
      </c>
      <c r="C157" s="64" t="s">
        <v>271</v>
      </c>
      <c r="D157" s="125" t="s">
        <v>267</v>
      </c>
      <c r="E157" s="65">
        <v>31</v>
      </c>
      <c r="F157" s="65">
        <v>85.79</v>
      </c>
      <c r="G157" s="65">
        <f t="shared" si="33"/>
        <v>2659.49</v>
      </c>
      <c r="H157" s="126">
        <f t="shared" si="34"/>
        <v>107.26</v>
      </c>
      <c r="I157" s="126">
        <f t="shared" si="35"/>
        <v>3325.16</v>
      </c>
      <c r="J157" s="70">
        <f>TRUNC(F157* E157, 2)</f>
        <v>2659.49</v>
      </c>
      <c r="K157" s="189">
        <f>I157/$I$154</f>
        <v>0.18847089724267593</v>
      </c>
    </row>
    <row r="158" spans="1:11" x14ac:dyDescent="0.2">
      <c r="A158" s="127" t="s">
        <v>272</v>
      </c>
      <c r="B158" s="128"/>
      <c r="C158" s="66" t="s">
        <v>273</v>
      </c>
      <c r="D158" s="66"/>
      <c r="E158" s="141"/>
      <c r="F158" s="143">
        <f>F159+F160+F161+F162</f>
        <v>306.63</v>
      </c>
      <c r="G158" s="143">
        <f>G159+G160+G161+G162</f>
        <v>23287.67</v>
      </c>
      <c r="H158" s="129">
        <f>H159+H160+H161+H162</f>
        <v>383.36</v>
      </c>
      <c r="I158" s="129">
        <f>SUM(I159:I162)</f>
        <v>29116.55</v>
      </c>
      <c r="J158" s="75">
        <f>SUM(J159:J162)</f>
        <v>23287.67</v>
      </c>
      <c r="K158" s="189">
        <f>I158/$I$407</f>
        <v>1.7209348963582762E-2</v>
      </c>
    </row>
    <row r="159" spans="1:11" ht="28.5" hidden="1" customHeight="1" x14ac:dyDescent="0.2">
      <c r="A159" s="63" t="s">
        <v>274</v>
      </c>
      <c r="B159" s="124" t="s">
        <v>275</v>
      </c>
      <c r="C159" s="64" t="s">
        <v>276</v>
      </c>
      <c r="D159" s="125" t="s">
        <v>267</v>
      </c>
      <c r="E159" s="65">
        <v>48.4</v>
      </c>
      <c r="F159" s="65">
        <v>58.42</v>
      </c>
      <c r="G159" s="65">
        <f t="shared" si="33"/>
        <v>2827.52</v>
      </c>
      <c r="H159" s="126">
        <f t="shared" si="34"/>
        <v>73.040000000000006</v>
      </c>
      <c r="I159" s="126">
        <f t="shared" si="35"/>
        <v>3535.24</v>
      </c>
      <c r="J159" s="70">
        <f>TRUNC(F159 * E159, 2)</f>
        <v>2827.52</v>
      </c>
      <c r="K159" s="189">
        <f>I159/$I$158</f>
        <v>0.12141685742301199</v>
      </c>
    </row>
    <row r="160" spans="1:11" ht="29.25" hidden="1" customHeight="1" x14ac:dyDescent="0.2">
      <c r="A160" s="63" t="s">
        <v>277</v>
      </c>
      <c r="B160" s="124" t="s">
        <v>278</v>
      </c>
      <c r="C160" s="64" t="s">
        <v>279</v>
      </c>
      <c r="D160" s="125" t="s">
        <v>267</v>
      </c>
      <c r="E160" s="65">
        <v>63.8</v>
      </c>
      <c r="F160" s="65">
        <v>77.08</v>
      </c>
      <c r="G160" s="65">
        <f t="shared" si="33"/>
        <v>4917.7</v>
      </c>
      <c r="H160" s="126">
        <f t="shared" si="34"/>
        <v>96.37</v>
      </c>
      <c r="I160" s="126">
        <f t="shared" si="35"/>
        <v>6148.6</v>
      </c>
      <c r="J160" s="70">
        <f>TRUNC(F160 * E160, 2)</f>
        <v>4917.7</v>
      </c>
      <c r="K160" s="189">
        <f>I160/$I$158</f>
        <v>0.21117199668229927</v>
      </c>
    </row>
    <row r="161" spans="1:11" ht="27" hidden="1" customHeight="1" x14ac:dyDescent="0.2">
      <c r="A161" s="63" t="s">
        <v>280</v>
      </c>
      <c r="B161" s="124" t="s">
        <v>882</v>
      </c>
      <c r="C161" s="64" t="s">
        <v>1087</v>
      </c>
      <c r="D161" s="125" t="s">
        <v>4</v>
      </c>
      <c r="E161" s="65">
        <v>61.55</v>
      </c>
      <c r="F161" s="65">
        <v>19.329999999999998</v>
      </c>
      <c r="G161" s="65">
        <f t="shared" si="33"/>
        <v>1189.76</v>
      </c>
      <c r="H161" s="126">
        <f t="shared" si="34"/>
        <v>24.16</v>
      </c>
      <c r="I161" s="126">
        <f t="shared" si="35"/>
        <v>1487.55</v>
      </c>
      <c r="J161" s="70">
        <f>TRUNC(F161 * E161, 2)</f>
        <v>1189.76</v>
      </c>
      <c r="K161" s="189">
        <f>I161/$I$158</f>
        <v>5.1089500644822275E-2</v>
      </c>
    </row>
    <row r="162" spans="1:11" ht="25.5" hidden="1" x14ac:dyDescent="0.2">
      <c r="A162" s="63" t="s">
        <v>281</v>
      </c>
      <c r="B162" s="124" t="s">
        <v>883</v>
      </c>
      <c r="C162" s="64" t="s">
        <v>1088</v>
      </c>
      <c r="D162" s="125" t="s">
        <v>267</v>
      </c>
      <c r="E162" s="65">
        <v>94.55</v>
      </c>
      <c r="F162" s="65">
        <v>151.80000000000001</v>
      </c>
      <c r="G162" s="65">
        <f t="shared" si="33"/>
        <v>14352.69</v>
      </c>
      <c r="H162" s="126">
        <f t="shared" si="34"/>
        <v>189.79</v>
      </c>
      <c r="I162" s="126">
        <f t="shared" si="35"/>
        <v>17945.16</v>
      </c>
      <c r="J162" s="70">
        <f>TRUNC(F162 * E162, 2)</f>
        <v>14352.69</v>
      </c>
      <c r="K162" s="189">
        <f>I162/$I$158</f>
        <v>0.61632164524986655</v>
      </c>
    </row>
    <row r="163" spans="1:11" x14ac:dyDescent="0.2">
      <c r="A163" s="127" t="s">
        <v>282</v>
      </c>
      <c r="B163" s="128"/>
      <c r="C163" s="66" t="s">
        <v>283</v>
      </c>
      <c r="D163" s="66"/>
      <c r="E163" s="141"/>
      <c r="F163" s="143">
        <f>F164+F165+F166+F167+F168</f>
        <v>158.13999999999999</v>
      </c>
      <c r="G163" s="143">
        <f>G164+G165+G166+G167+G168</f>
        <v>14450.59</v>
      </c>
      <c r="H163" s="129">
        <f>H164+H165+H166+H167+H168</f>
        <v>197.7</v>
      </c>
      <c r="I163" s="129">
        <f>SUM(I164:I168)</f>
        <v>18067.550000000003</v>
      </c>
      <c r="J163" s="75">
        <f>SUM(J164:J168)</f>
        <v>14450.59</v>
      </c>
      <c r="K163" s="189">
        <f>I163/$I$407</f>
        <v>1.0678832927217673E-2</v>
      </c>
    </row>
    <row r="164" spans="1:11" ht="29.25" hidden="1" customHeight="1" x14ac:dyDescent="0.2">
      <c r="A164" s="63" t="s">
        <v>284</v>
      </c>
      <c r="B164" s="124" t="s">
        <v>884</v>
      </c>
      <c r="C164" s="64" t="s">
        <v>285</v>
      </c>
      <c r="D164" s="125" t="s">
        <v>4</v>
      </c>
      <c r="E164" s="65">
        <v>139.9</v>
      </c>
      <c r="F164" s="65">
        <v>3.81</v>
      </c>
      <c r="G164" s="65">
        <f t="shared" si="33"/>
        <v>533.01</v>
      </c>
      <c r="H164" s="126">
        <f t="shared" si="34"/>
        <v>4.76</v>
      </c>
      <c r="I164" s="126">
        <f t="shared" si="35"/>
        <v>666.42</v>
      </c>
      <c r="J164" s="70">
        <f>TRUNC(F164* E164, 2)</f>
        <v>533.01</v>
      </c>
      <c r="K164" s="189">
        <f>I164/$I$163</f>
        <v>3.688491245354239E-2</v>
      </c>
    </row>
    <row r="165" spans="1:11" ht="41.25" hidden="1" customHeight="1" x14ac:dyDescent="0.2">
      <c r="A165" s="63" t="s">
        <v>286</v>
      </c>
      <c r="B165" s="124" t="s">
        <v>885</v>
      </c>
      <c r="C165" s="64" t="s">
        <v>287</v>
      </c>
      <c r="D165" s="125" t="s">
        <v>4</v>
      </c>
      <c r="E165" s="65">
        <v>167.9</v>
      </c>
      <c r="F165" s="65">
        <v>5.32</v>
      </c>
      <c r="G165" s="65">
        <f t="shared" si="33"/>
        <v>893.22</v>
      </c>
      <c r="H165" s="126">
        <f t="shared" si="34"/>
        <v>6.65</v>
      </c>
      <c r="I165" s="126">
        <f t="shared" si="35"/>
        <v>1116.79</v>
      </c>
      <c r="J165" s="70">
        <f>TRUNC(F165* E165, 2)</f>
        <v>893.22</v>
      </c>
      <c r="K165" s="189">
        <f>I165/$I$163</f>
        <v>6.1811922479804944E-2</v>
      </c>
    </row>
    <row r="166" spans="1:11" ht="59.25" hidden="1" customHeight="1" x14ac:dyDescent="0.2">
      <c r="A166" s="63" t="s">
        <v>288</v>
      </c>
      <c r="B166" s="124" t="s">
        <v>886</v>
      </c>
      <c r="C166" s="64" t="s">
        <v>289</v>
      </c>
      <c r="D166" s="125" t="s">
        <v>4</v>
      </c>
      <c r="E166" s="65">
        <v>139.9</v>
      </c>
      <c r="F166" s="65">
        <v>32.76</v>
      </c>
      <c r="G166" s="65">
        <f t="shared" si="33"/>
        <v>4583.12</v>
      </c>
      <c r="H166" s="126">
        <f t="shared" si="34"/>
        <v>40.950000000000003</v>
      </c>
      <c r="I166" s="126">
        <f t="shared" si="35"/>
        <v>5730.27</v>
      </c>
      <c r="J166" s="70">
        <f>TRUNC(F166* E166, 2)</f>
        <v>4583.12</v>
      </c>
      <c r="K166" s="189">
        <f>I166/$I$163</f>
        <v>0.31715810942822903</v>
      </c>
    </row>
    <row r="167" spans="1:11" ht="41.25" hidden="1" customHeight="1" x14ac:dyDescent="0.2">
      <c r="A167" s="63" t="s">
        <v>290</v>
      </c>
      <c r="B167" s="124" t="s">
        <v>887</v>
      </c>
      <c r="C167" s="64" t="s">
        <v>291</v>
      </c>
      <c r="D167" s="125" t="s">
        <v>4</v>
      </c>
      <c r="E167" s="65">
        <v>167.9</v>
      </c>
      <c r="F167" s="65">
        <v>45.56</v>
      </c>
      <c r="G167" s="65">
        <f t="shared" si="33"/>
        <v>7649.52</v>
      </c>
      <c r="H167" s="126">
        <f t="shared" si="34"/>
        <v>56.96</v>
      </c>
      <c r="I167" s="126">
        <f t="shared" si="35"/>
        <v>9564.19</v>
      </c>
      <c r="J167" s="70">
        <f>TRUNC(F167* E167, 2)</f>
        <v>7649.52</v>
      </c>
      <c r="K167" s="189">
        <f>I167/$I$163</f>
        <v>0.52935732847010242</v>
      </c>
    </row>
    <row r="168" spans="1:11" ht="43.5" hidden="1" customHeight="1" x14ac:dyDescent="0.2">
      <c r="A168" s="63" t="s">
        <v>292</v>
      </c>
      <c r="B168" s="124" t="s">
        <v>888</v>
      </c>
      <c r="C168" s="64" t="s">
        <v>293</v>
      </c>
      <c r="D168" s="125" t="s">
        <v>4</v>
      </c>
      <c r="E168" s="65">
        <v>11.2</v>
      </c>
      <c r="F168" s="65">
        <v>70.69</v>
      </c>
      <c r="G168" s="65">
        <f t="shared" si="33"/>
        <v>791.72</v>
      </c>
      <c r="H168" s="126">
        <f t="shared" si="34"/>
        <v>88.38</v>
      </c>
      <c r="I168" s="126">
        <f t="shared" si="35"/>
        <v>989.88</v>
      </c>
      <c r="J168" s="70">
        <f>TRUNC(F168* E168, 2)</f>
        <v>791.72</v>
      </c>
      <c r="K168" s="189">
        <f>I168/$I$163</f>
        <v>5.4787727168321095E-2</v>
      </c>
    </row>
    <row r="169" spans="1:11" x14ac:dyDescent="0.2">
      <c r="A169" s="127" t="s">
        <v>294</v>
      </c>
      <c r="B169" s="128"/>
      <c r="C169" s="66" t="s">
        <v>295</v>
      </c>
      <c r="D169" s="66"/>
      <c r="E169" s="141"/>
      <c r="F169" s="143">
        <f>F170+F171+F172</f>
        <v>427.6</v>
      </c>
      <c r="G169" s="143">
        <f>G170+G171+G172</f>
        <v>23730</v>
      </c>
      <c r="H169" s="129">
        <f>H170+H171+H172</f>
        <v>534.61</v>
      </c>
      <c r="I169" s="129">
        <f>SUM(I170:I172)</f>
        <v>29669.610000000004</v>
      </c>
      <c r="J169" s="75">
        <f>SUM(J170:J172)</f>
        <v>23730</v>
      </c>
      <c r="K169" s="189">
        <f>I169/$I$407</f>
        <v>1.7536235306154224E-2</v>
      </c>
    </row>
    <row r="170" spans="1:11" ht="25.5" hidden="1" x14ac:dyDescent="0.2">
      <c r="A170" s="63" t="s">
        <v>296</v>
      </c>
      <c r="B170" s="130" t="s">
        <v>889</v>
      </c>
      <c r="C170" s="64" t="s">
        <v>297</v>
      </c>
      <c r="D170" s="125" t="s">
        <v>4</v>
      </c>
      <c r="E170" s="65">
        <v>125</v>
      </c>
      <c r="F170" s="65">
        <v>87.6</v>
      </c>
      <c r="G170" s="65">
        <f t="shared" si="33"/>
        <v>10950</v>
      </c>
      <c r="H170" s="126">
        <f t="shared" si="34"/>
        <v>109.52</v>
      </c>
      <c r="I170" s="126">
        <f t="shared" si="35"/>
        <v>13690.78</v>
      </c>
      <c r="J170" s="70">
        <f>TRUNC(F170 * E170, 2)</f>
        <v>10950</v>
      </c>
      <c r="K170" s="189">
        <f>I170/$I$169</f>
        <v>0.46144118510489346</v>
      </c>
    </row>
    <row r="171" spans="1:11" ht="29.25" hidden="1" customHeight="1" x14ac:dyDescent="0.2">
      <c r="A171" s="63" t="s">
        <v>298</v>
      </c>
      <c r="B171" s="130" t="s">
        <v>299</v>
      </c>
      <c r="C171" s="64" t="s">
        <v>300</v>
      </c>
      <c r="D171" s="125" t="s">
        <v>4</v>
      </c>
      <c r="E171" s="65">
        <v>63</v>
      </c>
      <c r="F171" s="65">
        <v>160</v>
      </c>
      <c r="G171" s="65">
        <f t="shared" si="33"/>
        <v>10080</v>
      </c>
      <c r="H171" s="126">
        <f t="shared" si="34"/>
        <v>200.04</v>
      </c>
      <c r="I171" s="126">
        <f t="shared" si="35"/>
        <v>12603.02</v>
      </c>
      <c r="J171" s="70">
        <f>TRUNC(F171 * E171, 2)</f>
        <v>10080</v>
      </c>
      <c r="K171" s="189">
        <f>I171/$I$169</f>
        <v>0.42477875509654489</v>
      </c>
    </row>
    <row r="172" spans="1:11" ht="18.75" hidden="1" customHeight="1" x14ac:dyDescent="0.2">
      <c r="A172" s="63" t="s">
        <v>1065</v>
      </c>
      <c r="B172" s="130" t="s">
        <v>301</v>
      </c>
      <c r="C172" s="64" t="s">
        <v>302</v>
      </c>
      <c r="D172" s="125" t="s">
        <v>4</v>
      </c>
      <c r="E172" s="65">
        <v>15</v>
      </c>
      <c r="F172" s="65">
        <v>180</v>
      </c>
      <c r="G172" s="65">
        <f t="shared" si="33"/>
        <v>2700</v>
      </c>
      <c r="H172" s="126">
        <f t="shared" si="34"/>
        <v>225.05</v>
      </c>
      <c r="I172" s="126">
        <f t="shared" si="35"/>
        <v>3375.81</v>
      </c>
      <c r="J172" s="70">
        <f>TRUNC(F172 * E172, 2)</f>
        <v>2700</v>
      </c>
      <c r="K172" s="189">
        <f>I172/$I$169</f>
        <v>0.11378005979856154</v>
      </c>
    </row>
    <row r="173" spans="1:11" x14ac:dyDescent="0.2">
      <c r="A173" s="127" t="s">
        <v>303</v>
      </c>
      <c r="B173" s="128"/>
      <c r="C173" s="66" t="s">
        <v>304</v>
      </c>
      <c r="D173" s="66"/>
      <c r="E173" s="141"/>
      <c r="F173" s="143">
        <f>F174+F186</f>
        <v>377.17</v>
      </c>
      <c r="G173" s="143">
        <f>G174+G186</f>
        <v>167378.13</v>
      </c>
      <c r="H173" s="129">
        <f>H174+H186</f>
        <v>471.49</v>
      </c>
      <c r="I173" s="129">
        <f>I174+I186</f>
        <v>209272.78</v>
      </c>
      <c r="J173" s="75">
        <f>J174+J186</f>
        <v>167378.13</v>
      </c>
      <c r="K173" s="189">
        <f>I173/$I$407</f>
        <v>0.12369076348671401</v>
      </c>
    </row>
    <row r="174" spans="1:11" hidden="1" x14ac:dyDescent="0.2">
      <c r="A174" s="127" t="s">
        <v>305</v>
      </c>
      <c r="B174" s="128"/>
      <c r="C174" s="66" t="s">
        <v>306</v>
      </c>
      <c r="D174" s="66"/>
      <c r="E174" s="141"/>
      <c r="F174" s="143">
        <f>SUM(F175:F185)</f>
        <v>321.49</v>
      </c>
      <c r="G174" s="143">
        <f>G175+G176+G177+G178+G179+G180+G181+G182+G183+G184+G185</f>
        <v>164895.95000000001</v>
      </c>
      <c r="H174" s="129">
        <f>SUM(H175:H185)</f>
        <v>401.89000000000004</v>
      </c>
      <c r="I174" s="129">
        <f>SUM(I175:I185)</f>
        <v>206169.34</v>
      </c>
      <c r="J174" s="75">
        <f>SUM(J175:J185)</f>
        <v>164895.95000000001</v>
      </c>
      <c r="K174" s="189">
        <f>I174/$I$407</f>
        <v>0.12185647398649709</v>
      </c>
    </row>
    <row r="175" spans="1:11" ht="30" hidden="1" customHeight="1" x14ac:dyDescent="0.2">
      <c r="A175" s="63" t="s">
        <v>307</v>
      </c>
      <c r="B175" s="124" t="s">
        <v>890</v>
      </c>
      <c r="C175" s="64" t="s">
        <v>308</v>
      </c>
      <c r="D175" s="125" t="s">
        <v>4</v>
      </c>
      <c r="E175" s="65">
        <v>185</v>
      </c>
      <c r="F175" s="65">
        <v>2.88</v>
      </c>
      <c r="G175" s="65">
        <f t="shared" ref="G175:G239" si="37">TRUNC(E175*F175,2)</f>
        <v>532.79999999999995</v>
      </c>
      <c r="H175" s="126">
        <f t="shared" si="34"/>
        <v>3.6</v>
      </c>
      <c r="I175" s="126">
        <f t="shared" ref="I175:I239" si="38">TRUNC(G175*(1+I$8),2)</f>
        <v>666.15</v>
      </c>
      <c r="J175" s="70">
        <f>TRUNC(F175 * E175, 2)</f>
        <v>532.79999999999995</v>
      </c>
      <c r="K175" s="189">
        <f t="shared" ref="K175:K185" si="39">I175/$I$174</f>
        <v>3.231081789367905E-3</v>
      </c>
    </row>
    <row r="176" spans="1:11" ht="21.75" hidden="1" customHeight="1" x14ac:dyDescent="0.2">
      <c r="A176" s="63" t="s">
        <v>309</v>
      </c>
      <c r="B176" s="124" t="s">
        <v>891</v>
      </c>
      <c r="C176" s="64" t="s">
        <v>310</v>
      </c>
      <c r="D176" s="125" t="s">
        <v>4</v>
      </c>
      <c r="E176" s="65">
        <v>185</v>
      </c>
      <c r="F176" s="65">
        <v>9.42</v>
      </c>
      <c r="G176" s="65">
        <f t="shared" si="37"/>
        <v>1742.7</v>
      </c>
      <c r="H176" s="126">
        <f t="shared" si="34"/>
        <v>11.77</v>
      </c>
      <c r="I176" s="126">
        <f t="shared" si="38"/>
        <v>2178.89</v>
      </c>
      <c r="J176" s="70">
        <f t="shared" ref="J176:J185" si="40">TRUNC(F176 * E176, 2)</f>
        <v>1742.7</v>
      </c>
      <c r="K176" s="189">
        <f t="shared" si="39"/>
        <v>1.0568448247445522E-2</v>
      </c>
    </row>
    <row r="177" spans="1:11" s="215" customFormat="1" ht="29.25" customHeight="1" x14ac:dyDescent="0.2">
      <c r="A177" s="63" t="s">
        <v>311</v>
      </c>
      <c r="B177" s="124" t="s">
        <v>892</v>
      </c>
      <c r="C177" s="64" t="s">
        <v>312</v>
      </c>
      <c r="D177" s="125" t="s">
        <v>4</v>
      </c>
      <c r="E177" s="65">
        <v>9680</v>
      </c>
      <c r="F177" s="65">
        <v>11.42</v>
      </c>
      <c r="G177" s="65">
        <f t="shared" si="37"/>
        <v>110545.60000000001</v>
      </c>
      <c r="H177" s="126">
        <f t="shared" si="34"/>
        <v>14.27</v>
      </c>
      <c r="I177" s="126">
        <f t="shared" si="38"/>
        <v>138215.16</v>
      </c>
      <c r="J177" s="216">
        <f t="shared" si="40"/>
        <v>110545.60000000001</v>
      </c>
      <c r="K177" s="217">
        <f t="shared" si="39"/>
        <v>0.6703962868581721</v>
      </c>
    </row>
    <row r="178" spans="1:11" ht="29.25" hidden="1" customHeight="1" x14ac:dyDescent="0.2">
      <c r="A178" s="63" t="s">
        <v>313</v>
      </c>
      <c r="B178" s="124" t="s">
        <v>893</v>
      </c>
      <c r="C178" s="64" t="s">
        <v>314</v>
      </c>
      <c r="D178" s="125" t="s">
        <v>4</v>
      </c>
      <c r="E178" s="65">
        <v>924</v>
      </c>
      <c r="F178" s="65">
        <v>11.76</v>
      </c>
      <c r="G178" s="65">
        <f t="shared" si="37"/>
        <v>10866.24</v>
      </c>
      <c r="H178" s="126">
        <f t="shared" si="34"/>
        <v>14.7</v>
      </c>
      <c r="I178" s="126">
        <f t="shared" si="38"/>
        <v>13586.05</v>
      </c>
      <c r="J178" s="70">
        <f t="shared" si="40"/>
        <v>10866.24</v>
      </c>
      <c r="K178" s="189">
        <f t="shared" si="39"/>
        <v>6.5897528701406333E-2</v>
      </c>
    </row>
    <row r="179" spans="1:11" ht="20.25" hidden="1" customHeight="1" x14ac:dyDescent="0.2">
      <c r="A179" s="63" t="s">
        <v>315</v>
      </c>
      <c r="B179" s="124" t="s">
        <v>894</v>
      </c>
      <c r="C179" s="64" t="s">
        <v>316</v>
      </c>
      <c r="D179" s="125" t="s">
        <v>4</v>
      </c>
      <c r="E179" s="65">
        <v>62</v>
      </c>
      <c r="F179" s="65">
        <v>19.77</v>
      </c>
      <c r="G179" s="65">
        <f t="shared" si="37"/>
        <v>1225.74</v>
      </c>
      <c r="H179" s="126">
        <f t="shared" si="34"/>
        <v>24.71</v>
      </c>
      <c r="I179" s="126">
        <f t="shared" si="38"/>
        <v>1532.54</v>
      </c>
      <c r="J179" s="70">
        <f t="shared" si="40"/>
        <v>1225.74</v>
      </c>
      <c r="K179" s="189">
        <f t="shared" si="39"/>
        <v>7.4334040163294892E-3</v>
      </c>
    </row>
    <row r="180" spans="1:11" ht="30.75" hidden="1" customHeight="1" x14ac:dyDescent="0.2">
      <c r="A180" s="63" t="s">
        <v>317</v>
      </c>
      <c r="B180" s="124" t="s">
        <v>895</v>
      </c>
      <c r="C180" s="64" t="s">
        <v>318</v>
      </c>
      <c r="D180" s="125" t="s">
        <v>4</v>
      </c>
      <c r="E180" s="65">
        <v>216</v>
      </c>
      <c r="F180" s="65">
        <v>21.56</v>
      </c>
      <c r="G180" s="65">
        <f t="shared" si="37"/>
        <v>4656.96</v>
      </c>
      <c r="H180" s="126">
        <f t="shared" si="34"/>
        <v>26.95</v>
      </c>
      <c r="I180" s="126">
        <f t="shared" si="38"/>
        <v>5822.59</v>
      </c>
      <c r="J180" s="70">
        <f t="shared" si="40"/>
        <v>4656.96</v>
      </c>
      <c r="K180" s="189">
        <f t="shared" si="39"/>
        <v>2.8241784156654914E-2</v>
      </c>
    </row>
    <row r="181" spans="1:11" ht="42" hidden="1" customHeight="1" x14ac:dyDescent="0.2">
      <c r="A181" s="63" t="s">
        <v>319</v>
      </c>
      <c r="B181" s="124" t="s">
        <v>896</v>
      </c>
      <c r="C181" s="64" t="s">
        <v>320</v>
      </c>
      <c r="D181" s="125" t="s">
        <v>4</v>
      </c>
      <c r="E181" s="65">
        <v>195</v>
      </c>
      <c r="F181" s="65">
        <v>44.26</v>
      </c>
      <c r="G181" s="65">
        <f t="shared" si="37"/>
        <v>8630.7000000000007</v>
      </c>
      <c r="H181" s="126">
        <f t="shared" si="34"/>
        <v>55.33</v>
      </c>
      <c r="I181" s="126">
        <f t="shared" si="38"/>
        <v>10790.96</v>
      </c>
      <c r="J181" s="70">
        <f t="shared" si="40"/>
        <v>8630.7000000000007</v>
      </c>
      <c r="K181" s="189">
        <f t="shared" si="39"/>
        <v>5.2340275232001028E-2</v>
      </c>
    </row>
    <row r="182" spans="1:11" ht="17.25" hidden="1" customHeight="1" x14ac:dyDescent="0.2">
      <c r="A182" s="63" t="s">
        <v>321</v>
      </c>
      <c r="B182" s="124" t="s">
        <v>322</v>
      </c>
      <c r="C182" s="64" t="s">
        <v>323</v>
      </c>
      <c r="D182" s="125" t="s">
        <v>4</v>
      </c>
      <c r="E182" s="65">
        <v>203</v>
      </c>
      <c r="F182" s="65">
        <v>21.56</v>
      </c>
      <c r="G182" s="65">
        <f t="shared" si="37"/>
        <v>4376.68</v>
      </c>
      <c r="H182" s="126">
        <f t="shared" si="34"/>
        <v>26.95</v>
      </c>
      <c r="I182" s="126">
        <f t="shared" si="38"/>
        <v>5472.16</v>
      </c>
      <c r="J182" s="70">
        <f t="shared" si="40"/>
        <v>4376.68</v>
      </c>
      <c r="K182" s="189">
        <f t="shared" si="39"/>
        <v>2.6542064887048675E-2</v>
      </c>
    </row>
    <row r="183" spans="1:11" ht="15" hidden="1" customHeight="1" x14ac:dyDescent="0.2">
      <c r="A183" s="63" t="s">
        <v>324</v>
      </c>
      <c r="B183" s="124" t="s">
        <v>325</v>
      </c>
      <c r="C183" s="64" t="s">
        <v>326</v>
      </c>
      <c r="D183" s="125" t="s">
        <v>4</v>
      </c>
      <c r="E183" s="65">
        <v>203</v>
      </c>
      <c r="F183" s="65">
        <v>44.26</v>
      </c>
      <c r="G183" s="65">
        <f t="shared" si="37"/>
        <v>8984.7800000000007</v>
      </c>
      <c r="H183" s="126">
        <f t="shared" si="34"/>
        <v>55.33</v>
      </c>
      <c r="I183" s="126">
        <f t="shared" si="38"/>
        <v>11233.67</v>
      </c>
      <c r="J183" s="70">
        <f t="shared" si="40"/>
        <v>8984.7800000000007</v>
      </c>
      <c r="K183" s="189">
        <f t="shared" si="39"/>
        <v>5.4487587727641756E-2</v>
      </c>
    </row>
    <row r="184" spans="1:11" ht="24" hidden="1" x14ac:dyDescent="0.2">
      <c r="A184" s="63" t="s">
        <v>1066</v>
      </c>
      <c r="B184" s="124" t="s">
        <v>327</v>
      </c>
      <c r="C184" s="64" t="s">
        <v>328</v>
      </c>
      <c r="D184" s="125" t="s">
        <v>4</v>
      </c>
      <c r="E184" s="65">
        <v>88</v>
      </c>
      <c r="F184" s="65">
        <v>119.25</v>
      </c>
      <c r="G184" s="65">
        <f t="shared" si="37"/>
        <v>10494</v>
      </c>
      <c r="H184" s="126">
        <f t="shared" si="34"/>
        <v>149.09</v>
      </c>
      <c r="I184" s="126">
        <f t="shared" si="38"/>
        <v>13120.64</v>
      </c>
      <c r="J184" s="70">
        <f t="shared" si="40"/>
        <v>10494</v>
      </c>
      <c r="K184" s="189">
        <f t="shared" si="39"/>
        <v>6.3640112540497049E-2</v>
      </c>
    </row>
    <row r="185" spans="1:11" ht="25.5" hidden="1" x14ac:dyDescent="0.2">
      <c r="A185" s="63" t="s">
        <v>1131</v>
      </c>
      <c r="B185" s="124" t="s">
        <v>897</v>
      </c>
      <c r="C185" s="64" t="s">
        <v>1089</v>
      </c>
      <c r="D185" s="125" t="s">
        <v>4</v>
      </c>
      <c r="E185" s="65">
        <v>185</v>
      </c>
      <c r="F185" s="65">
        <v>15.35</v>
      </c>
      <c r="G185" s="65">
        <f t="shared" si="37"/>
        <v>2839.75</v>
      </c>
      <c r="H185" s="126">
        <f t="shared" si="34"/>
        <v>19.190000000000001</v>
      </c>
      <c r="I185" s="126">
        <f t="shared" si="38"/>
        <v>3550.53</v>
      </c>
      <c r="J185" s="70">
        <f t="shared" si="40"/>
        <v>2839.75</v>
      </c>
      <c r="K185" s="189">
        <f t="shared" si="39"/>
        <v>1.7221425843435306E-2</v>
      </c>
    </row>
    <row r="186" spans="1:11" x14ac:dyDescent="0.2">
      <c r="A186" s="127" t="s">
        <v>329</v>
      </c>
      <c r="B186" s="128"/>
      <c r="C186" s="66" t="s">
        <v>330</v>
      </c>
      <c r="D186" s="66"/>
      <c r="E186" s="141"/>
      <c r="F186" s="143">
        <f>SUM(F187:F190)</f>
        <v>55.68</v>
      </c>
      <c r="G186" s="143">
        <f>G187+G188+G189+G190</f>
        <v>2482.1800000000003</v>
      </c>
      <c r="H186" s="129">
        <f>SUM(H187:H190)</f>
        <v>69.599999999999994</v>
      </c>
      <c r="I186" s="129">
        <f>SUM(I187:I190)</f>
        <v>3103.44</v>
      </c>
      <c r="J186" s="75">
        <f>SUM(J187:J190)</f>
        <v>2482.1800000000003</v>
      </c>
      <c r="K186" s="189">
        <f>I186/$I$407</f>
        <v>1.834289500216931E-3</v>
      </c>
    </row>
    <row r="187" spans="1:11" ht="24" hidden="1" x14ac:dyDescent="0.2">
      <c r="A187" s="63" t="s">
        <v>331</v>
      </c>
      <c r="B187" s="124" t="s">
        <v>898</v>
      </c>
      <c r="C187" s="64" t="s">
        <v>332</v>
      </c>
      <c r="D187" s="125" t="s">
        <v>267</v>
      </c>
      <c r="E187" s="65">
        <v>839.4</v>
      </c>
      <c r="F187" s="65">
        <v>1.36</v>
      </c>
      <c r="G187" s="65">
        <f t="shared" si="37"/>
        <v>1141.58</v>
      </c>
      <c r="H187" s="126">
        <f t="shared" si="34"/>
        <v>1.7</v>
      </c>
      <c r="I187" s="126">
        <f t="shared" si="38"/>
        <v>1427.31</v>
      </c>
      <c r="J187" s="70">
        <f>TRUNC(F187* E187, 2)</f>
        <v>1141.58</v>
      </c>
      <c r="K187" s="189">
        <f>I187/$I$186</f>
        <v>0.45991222643260382</v>
      </c>
    </row>
    <row r="188" spans="1:11" ht="14.25" hidden="1" customHeight="1" x14ac:dyDescent="0.2">
      <c r="A188" s="63" t="s">
        <v>333</v>
      </c>
      <c r="B188" s="124" t="s">
        <v>899</v>
      </c>
      <c r="C188" s="64" t="s">
        <v>334</v>
      </c>
      <c r="D188" s="125" t="s">
        <v>267</v>
      </c>
      <c r="E188" s="65">
        <v>28</v>
      </c>
      <c r="F188" s="65">
        <v>11.87</v>
      </c>
      <c r="G188" s="65">
        <f t="shared" si="37"/>
        <v>332.36</v>
      </c>
      <c r="H188" s="126">
        <f t="shared" si="34"/>
        <v>14.84</v>
      </c>
      <c r="I188" s="126">
        <f t="shared" si="38"/>
        <v>415.54</v>
      </c>
      <c r="J188" s="70">
        <f>TRUNC(F188* E188, 2)</f>
        <v>332.36</v>
      </c>
      <c r="K188" s="189">
        <f>I188/$I$186</f>
        <v>0.13389657927976698</v>
      </c>
    </row>
    <row r="189" spans="1:11" ht="26.25" hidden="1" customHeight="1" x14ac:dyDescent="0.2">
      <c r="A189" s="63" t="s">
        <v>335</v>
      </c>
      <c r="B189" s="124" t="s">
        <v>900</v>
      </c>
      <c r="C189" s="64" t="s">
        <v>336</v>
      </c>
      <c r="D189" s="125" t="s">
        <v>4</v>
      </c>
      <c r="E189" s="65">
        <v>25.2</v>
      </c>
      <c r="F189" s="65">
        <v>20.49</v>
      </c>
      <c r="G189" s="65">
        <f t="shared" si="37"/>
        <v>516.34</v>
      </c>
      <c r="H189" s="126">
        <f t="shared" si="34"/>
        <v>25.61</v>
      </c>
      <c r="I189" s="126">
        <f t="shared" si="38"/>
        <v>645.57000000000005</v>
      </c>
      <c r="J189" s="70">
        <f>TRUNC(F189* E189, 2)</f>
        <v>516.34</v>
      </c>
      <c r="K189" s="189">
        <f>I189/$I$186</f>
        <v>0.20801755471347924</v>
      </c>
    </row>
    <row r="190" spans="1:11" ht="30" hidden="1" customHeight="1" x14ac:dyDescent="0.2">
      <c r="A190" s="63" t="s">
        <v>337</v>
      </c>
      <c r="B190" s="124" t="s">
        <v>901</v>
      </c>
      <c r="C190" s="64" t="s">
        <v>338</v>
      </c>
      <c r="D190" s="125" t="s">
        <v>4</v>
      </c>
      <c r="E190" s="65">
        <v>22.4</v>
      </c>
      <c r="F190" s="65">
        <v>21.96</v>
      </c>
      <c r="G190" s="65">
        <f t="shared" si="37"/>
        <v>491.9</v>
      </c>
      <c r="H190" s="126">
        <f t="shared" si="34"/>
        <v>27.45</v>
      </c>
      <c r="I190" s="126">
        <f t="shared" si="38"/>
        <v>615.02</v>
      </c>
      <c r="J190" s="70">
        <f>TRUNC(F190* E190, 2)</f>
        <v>491.9</v>
      </c>
      <c r="K190" s="189">
        <f>I190/$I$186</f>
        <v>0.19817363957414996</v>
      </c>
    </row>
    <row r="191" spans="1:11" x14ac:dyDescent="0.2">
      <c r="A191" s="127" t="s">
        <v>339</v>
      </c>
      <c r="B191" s="128"/>
      <c r="C191" s="66" t="s">
        <v>340</v>
      </c>
      <c r="D191" s="66"/>
      <c r="E191" s="141"/>
      <c r="F191" s="143">
        <f>SUM(F192:F199)</f>
        <v>1315.24</v>
      </c>
      <c r="G191" s="143">
        <f>SUM(G192:G199)</f>
        <v>30858.74</v>
      </c>
      <c r="H191" s="129">
        <f>SUM(H192:H199)</f>
        <v>1644.41</v>
      </c>
      <c r="I191" s="129">
        <f>SUM(I192:I199)</f>
        <v>38582.619999999995</v>
      </c>
      <c r="J191" s="75">
        <f>SUM(J192:J199)</f>
        <v>30858.74</v>
      </c>
      <c r="K191" s="189">
        <f>I191/$I$407</f>
        <v>2.2804273566384321E-2</v>
      </c>
    </row>
    <row r="192" spans="1:11" ht="29.25" hidden="1" customHeight="1" x14ac:dyDescent="0.2">
      <c r="A192" s="63" t="s">
        <v>341</v>
      </c>
      <c r="B192" s="124" t="s">
        <v>902</v>
      </c>
      <c r="C192" s="64" t="s">
        <v>342</v>
      </c>
      <c r="D192" s="125" t="s">
        <v>9</v>
      </c>
      <c r="E192" s="65">
        <v>9.25</v>
      </c>
      <c r="F192" s="65">
        <v>690.89</v>
      </c>
      <c r="G192" s="65">
        <f t="shared" si="37"/>
        <v>6390.73</v>
      </c>
      <c r="H192" s="126">
        <f t="shared" si="34"/>
        <v>863.81</v>
      </c>
      <c r="I192" s="126">
        <f t="shared" si="38"/>
        <v>7990.32</v>
      </c>
      <c r="J192" s="70">
        <f>TRUNC(F192 * E192, 2)</f>
        <v>6390.73</v>
      </c>
      <c r="K192" s="189">
        <f t="shared" ref="K192:K199" si="41">I192/$I$191</f>
        <v>0.20709635582031496</v>
      </c>
    </row>
    <row r="193" spans="1:11" ht="41.25" hidden="1" customHeight="1" x14ac:dyDescent="0.2">
      <c r="A193" s="63" t="s">
        <v>343</v>
      </c>
      <c r="B193" s="124" t="s">
        <v>903</v>
      </c>
      <c r="C193" s="64" t="s">
        <v>344</v>
      </c>
      <c r="D193" s="125" t="s">
        <v>4</v>
      </c>
      <c r="E193" s="65">
        <v>9.25</v>
      </c>
      <c r="F193" s="65">
        <v>28.38</v>
      </c>
      <c r="G193" s="65">
        <f t="shared" si="37"/>
        <v>262.51</v>
      </c>
      <c r="H193" s="126">
        <f t="shared" si="34"/>
        <v>35.479999999999997</v>
      </c>
      <c r="I193" s="126">
        <f t="shared" si="38"/>
        <v>328.21</v>
      </c>
      <c r="J193" s="70">
        <f t="shared" ref="J193:J199" si="42">TRUNC(F193 * E193, 2)</f>
        <v>262.51</v>
      </c>
      <c r="K193" s="189">
        <f t="shared" si="41"/>
        <v>8.5066799507135596E-3</v>
      </c>
    </row>
    <row r="194" spans="1:11" ht="29.25" hidden="1" customHeight="1" x14ac:dyDescent="0.2">
      <c r="A194" s="63" t="s">
        <v>345</v>
      </c>
      <c r="B194" s="124" t="s">
        <v>346</v>
      </c>
      <c r="C194" s="64" t="s">
        <v>347</v>
      </c>
      <c r="D194" s="125" t="s">
        <v>4</v>
      </c>
      <c r="E194" s="65">
        <v>43.6</v>
      </c>
      <c r="F194" s="65">
        <v>130.46</v>
      </c>
      <c r="G194" s="65">
        <f t="shared" si="37"/>
        <v>5688.05</v>
      </c>
      <c r="H194" s="126">
        <f t="shared" si="34"/>
        <v>163.11000000000001</v>
      </c>
      <c r="I194" s="126">
        <f t="shared" si="38"/>
        <v>7111.76</v>
      </c>
      <c r="J194" s="70">
        <f t="shared" si="42"/>
        <v>5688.05</v>
      </c>
      <c r="K194" s="189">
        <f t="shared" si="41"/>
        <v>0.18432548126591716</v>
      </c>
    </row>
    <row r="195" spans="1:11" ht="23.25" hidden="1" customHeight="1" x14ac:dyDescent="0.2">
      <c r="A195" s="63" t="s">
        <v>348</v>
      </c>
      <c r="B195" s="124" t="s">
        <v>904</v>
      </c>
      <c r="C195" s="64" t="s">
        <v>1145</v>
      </c>
      <c r="D195" s="125" t="s">
        <v>4</v>
      </c>
      <c r="E195" s="65">
        <v>43.6</v>
      </c>
      <c r="F195" s="65">
        <v>122.22</v>
      </c>
      <c r="G195" s="65">
        <f t="shared" si="37"/>
        <v>5328.79</v>
      </c>
      <c r="H195" s="126">
        <f t="shared" si="34"/>
        <v>152.81</v>
      </c>
      <c r="I195" s="126">
        <f t="shared" si="38"/>
        <v>6662.58</v>
      </c>
      <c r="J195" s="70">
        <f t="shared" si="42"/>
        <v>5328.79</v>
      </c>
      <c r="K195" s="189">
        <f t="shared" si="41"/>
        <v>0.17268345177180816</v>
      </c>
    </row>
    <row r="196" spans="1:11" ht="44.25" hidden="1" customHeight="1" x14ac:dyDescent="0.2">
      <c r="A196" s="63" t="s">
        <v>349</v>
      </c>
      <c r="B196" s="124" t="s">
        <v>905</v>
      </c>
      <c r="C196" s="64" t="s">
        <v>350</v>
      </c>
      <c r="D196" s="125" t="s">
        <v>4</v>
      </c>
      <c r="E196" s="65">
        <v>15.4</v>
      </c>
      <c r="F196" s="65">
        <v>62.73</v>
      </c>
      <c r="G196" s="65">
        <f t="shared" si="37"/>
        <v>966.04</v>
      </c>
      <c r="H196" s="126">
        <f t="shared" si="34"/>
        <v>78.430000000000007</v>
      </c>
      <c r="I196" s="126">
        <f t="shared" si="38"/>
        <v>1207.83</v>
      </c>
      <c r="J196" s="70">
        <f t="shared" si="42"/>
        <v>966.04</v>
      </c>
      <c r="K196" s="189">
        <f t="shared" si="41"/>
        <v>3.1305028015204774E-2</v>
      </c>
    </row>
    <row r="197" spans="1:11" ht="27.75" hidden="1" customHeight="1" x14ac:dyDescent="0.2">
      <c r="A197" s="63" t="s">
        <v>351</v>
      </c>
      <c r="B197" s="124" t="s">
        <v>906</v>
      </c>
      <c r="C197" s="64" t="s">
        <v>352</v>
      </c>
      <c r="D197" s="125" t="s">
        <v>267</v>
      </c>
      <c r="E197" s="65">
        <v>7</v>
      </c>
      <c r="F197" s="65">
        <v>9.2799999999999994</v>
      </c>
      <c r="G197" s="65">
        <f t="shared" si="37"/>
        <v>64.959999999999994</v>
      </c>
      <c r="H197" s="126">
        <f t="shared" si="34"/>
        <v>11.6</v>
      </c>
      <c r="I197" s="126">
        <f t="shared" si="38"/>
        <v>81.209999999999994</v>
      </c>
      <c r="J197" s="70">
        <f t="shared" si="42"/>
        <v>64.959999999999994</v>
      </c>
      <c r="K197" s="189">
        <f t="shared" si="41"/>
        <v>2.1048337308352829E-3</v>
      </c>
    </row>
    <row r="198" spans="1:11" ht="28.5" hidden="1" customHeight="1" x14ac:dyDescent="0.2">
      <c r="A198" s="63" t="s">
        <v>353</v>
      </c>
      <c r="B198" s="124" t="s">
        <v>354</v>
      </c>
      <c r="C198" s="64" t="s">
        <v>355</v>
      </c>
      <c r="D198" s="125" t="s">
        <v>4</v>
      </c>
      <c r="E198" s="65">
        <v>151.9</v>
      </c>
      <c r="F198" s="65">
        <v>66.56</v>
      </c>
      <c r="G198" s="65">
        <f t="shared" si="37"/>
        <v>10110.459999999999</v>
      </c>
      <c r="H198" s="126">
        <f t="shared" si="34"/>
        <v>83.21</v>
      </c>
      <c r="I198" s="126">
        <f t="shared" si="38"/>
        <v>12641.1</v>
      </c>
      <c r="J198" s="70">
        <f t="shared" si="42"/>
        <v>10110.459999999999</v>
      </c>
      <c r="K198" s="189">
        <f t="shared" si="41"/>
        <v>0.32763715890730077</v>
      </c>
    </row>
    <row r="199" spans="1:11" ht="28.5" hidden="1" customHeight="1" x14ac:dyDescent="0.2">
      <c r="A199" s="63" t="s">
        <v>356</v>
      </c>
      <c r="B199" s="124" t="s">
        <v>907</v>
      </c>
      <c r="C199" s="64" t="s">
        <v>357</v>
      </c>
      <c r="D199" s="125" t="s">
        <v>4</v>
      </c>
      <c r="E199" s="65">
        <v>10</v>
      </c>
      <c r="F199" s="65">
        <v>204.72</v>
      </c>
      <c r="G199" s="65">
        <f t="shared" si="37"/>
        <v>2047.2</v>
      </c>
      <c r="H199" s="126">
        <f t="shared" si="34"/>
        <v>255.96</v>
      </c>
      <c r="I199" s="126">
        <f t="shared" si="38"/>
        <v>2559.61</v>
      </c>
      <c r="J199" s="70">
        <f t="shared" si="42"/>
        <v>2047.2</v>
      </c>
      <c r="K199" s="189">
        <f t="shared" si="41"/>
        <v>6.634101053790542E-2</v>
      </c>
    </row>
    <row r="200" spans="1:11" x14ac:dyDescent="0.2">
      <c r="A200" s="127" t="s">
        <v>358</v>
      </c>
      <c r="B200" s="128"/>
      <c r="C200" s="66" t="s">
        <v>359</v>
      </c>
      <c r="D200" s="66"/>
      <c r="E200" s="141"/>
      <c r="F200" s="143">
        <f>SUM(F201:F204)</f>
        <v>1472.1</v>
      </c>
      <c r="G200" s="143">
        <f>G201+G202+G203+G204</f>
        <v>7462.5500000000011</v>
      </c>
      <c r="H200" s="129">
        <f>SUM(H201:H204)</f>
        <v>1840.56</v>
      </c>
      <c r="I200" s="129">
        <f>SUM(I201:I204)</f>
        <v>9330.41</v>
      </c>
      <c r="J200" s="75">
        <f>SUM(J201:J204)</f>
        <v>7462.5500000000011</v>
      </c>
      <c r="K200" s="189">
        <f>I200/$I$407</f>
        <v>5.5147427034900158E-3</v>
      </c>
    </row>
    <row r="201" spans="1:11" ht="28.5" hidden="1" customHeight="1" x14ac:dyDescent="0.2">
      <c r="A201" s="63" t="s">
        <v>360</v>
      </c>
      <c r="B201" s="124" t="s">
        <v>908</v>
      </c>
      <c r="C201" s="64" t="s">
        <v>361</v>
      </c>
      <c r="D201" s="125" t="s">
        <v>4</v>
      </c>
      <c r="E201" s="65">
        <v>4.2</v>
      </c>
      <c r="F201" s="65">
        <v>722.06</v>
      </c>
      <c r="G201" s="65">
        <f t="shared" si="37"/>
        <v>3032.65</v>
      </c>
      <c r="H201" s="126">
        <f t="shared" si="34"/>
        <v>902.79</v>
      </c>
      <c r="I201" s="126">
        <f t="shared" si="38"/>
        <v>3791.72</v>
      </c>
      <c r="J201" s="70">
        <f>TRUNC(F201* E201, 2)</f>
        <v>3032.65</v>
      </c>
      <c r="K201" s="189">
        <f>I201/$I$200</f>
        <v>0.40638299924654969</v>
      </c>
    </row>
    <row r="202" spans="1:11" hidden="1" x14ac:dyDescent="0.2">
      <c r="A202" s="63" t="s">
        <v>362</v>
      </c>
      <c r="B202" s="124" t="s">
        <v>909</v>
      </c>
      <c r="C202" s="64" t="s">
        <v>363</v>
      </c>
      <c r="D202" s="125" t="s">
        <v>267</v>
      </c>
      <c r="E202" s="65">
        <v>5.6</v>
      </c>
      <c r="F202" s="65">
        <v>130.49</v>
      </c>
      <c r="G202" s="65">
        <f t="shared" si="37"/>
        <v>730.74</v>
      </c>
      <c r="H202" s="126">
        <f t="shared" si="34"/>
        <v>163.15</v>
      </c>
      <c r="I202" s="126">
        <f t="shared" si="38"/>
        <v>913.64</v>
      </c>
      <c r="J202" s="70">
        <f>TRUNC(F202* E202, 2)</f>
        <v>730.74</v>
      </c>
      <c r="K202" s="189">
        <f>I202/$I$200</f>
        <v>9.7920670152758557E-2</v>
      </c>
    </row>
    <row r="203" spans="1:11" ht="28.5" hidden="1" customHeight="1" x14ac:dyDescent="0.2">
      <c r="A203" s="63" t="s">
        <v>364</v>
      </c>
      <c r="B203" s="124" t="s">
        <v>365</v>
      </c>
      <c r="C203" s="64" t="s">
        <v>366</v>
      </c>
      <c r="D203" s="125" t="s">
        <v>267</v>
      </c>
      <c r="E203" s="65">
        <v>8.4</v>
      </c>
      <c r="F203" s="65">
        <v>82.03</v>
      </c>
      <c r="G203" s="65">
        <f t="shared" si="37"/>
        <v>689.05</v>
      </c>
      <c r="H203" s="126">
        <f t="shared" si="34"/>
        <v>102.56</v>
      </c>
      <c r="I203" s="126">
        <f t="shared" si="38"/>
        <v>861.51</v>
      </c>
      <c r="J203" s="70">
        <f>TRUNC(F203* E203, 2)</f>
        <v>689.05</v>
      </c>
      <c r="K203" s="189">
        <f>I203/$I$200</f>
        <v>9.233356304814043E-2</v>
      </c>
    </row>
    <row r="204" spans="1:11" ht="44.25" hidden="1" customHeight="1" x14ac:dyDescent="0.2">
      <c r="A204" s="63" t="s">
        <v>367</v>
      </c>
      <c r="B204" s="124" t="s">
        <v>368</v>
      </c>
      <c r="C204" s="64" t="s">
        <v>369</v>
      </c>
      <c r="D204" s="125" t="s">
        <v>267</v>
      </c>
      <c r="E204" s="65">
        <v>5.6</v>
      </c>
      <c r="F204" s="65">
        <v>537.52</v>
      </c>
      <c r="G204" s="65">
        <f t="shared" si="37"/>
        <v>3010.11</v>
      </c>
      <c r="H204" s="126">
        <f t="shared" si="34"/>
        <v>672.06</v>
      </c>
      <c r="I204" s="126">
        <f t="shared" si="38"/>
        <v>3763.54</v>
      </c>
      <c r="J204" s="70">
        <f>TRUNC(F204* E204, 2)</f>
        <v>3010.11</v>
      </c>
      <c r="K204" s="189">
        <f>I204/$I$200</f>
        <v>0.40336276755255129</v>
      </c>
    </row>
    <row r="205" spans="1:11" x14ac:dyDescent="0.2">
      <c r="A205" s="127" t="s">
        <v>370</v>
      </c>
      <c r="B205" s="128"/>
      <c r="C205" s="66" t="s">
        <v>771</v>
      </c>
      <c r="D205" s="66"/>
      <c r="E205" s="141"/>
      <c r="F205" s="143">
        <f>F206+F207+F208</f>
        <v>5774.71</v>
      </c>
      <c r="G205" s="143">
        <f>G206+G207+G208</f>
        <v>13885.71</v>
      </c>
      <c r="H205" s="129">
        <f>H206+H207+H208</f>
        <v>7220.0999999999995</v>
      </c>
      <c r="I205" s="129">
        <f>SUM(I206:I208)</f>
        <v>17361.29</v>
      </c>
      <c r="J205" s="75">
        <f>SUM(J206:J208)</f>
        <v>13885.71</v>
      </c>
      <c r="K205" s="189">
        <f>I205/$I$407</f>
        <v>1.0261397661053929E-2</v>
      </c>
    </row>
    <row r="206" spans="1:11" ht="30.75" hidden="1" customHeight="1" x14ac:dyDescent="0.2">
      <c r="A206" s="63" t="s">
        <v>371</v>
      </c>
      <c r="B206" s="124" t="s">
        <v>910</v>
      </c>
      <c r="C206" s="64" t="s">
        <v>372</v>
      </c>
      <c r="D206" s="125" t="s">
        <v>168</v>
      </c>
      <c r="E206" s="65">
        <v>17</v>
      </c>
      <c r="F206" s="65">
        <v>36.67</v>
      </c>
      <c r="G206" s="65">
        <f t="shared" si="37"/>
        <v>623.39</v>
      </c>
      <c r="H206" s="126">
        <f t="shared" si="34"/>
        <v>45.84</v>
      </c>
      <c r="I206" s="126">
        <f t="shared" si="38"/>
        <v>779.42</v>
      </c>
      <c r="J206" s="70">
        <f>TRUNC(F206 * E206, 2)</f>
        <v>623.39</v>
      </c>
      <c r="K206" s="189">
        <f>I206/$I$205</f>
        <v>4.4894129410890549E-2</v>
      </c>
    </row>
    <row r="207" spans="1:11" ht="41.25" hidden="1" customHeight="1" x14ac:dyDescent="0.2">
      <c r="A207" s="63" t="s">
        <v>373</v>
      </c>
      <c r="B207" s="124" t="s">
        <v>374</v>
      </c>
      <c r="C207" s="64" t="s">
        <v>375</v>
      </c>
      <c r="D207" s="125" t="s">
        <v>168</v>
      </c>
      <c r="E207" s="65">
        <v>2</v>
      </c>
      <c r="F207" s="65">
        <v>4926.1099999999997</v>
      </c>
      <c r="G207" s="65">
        <f t="shared" si="37"/>
        <v>9852.2199999999993</v>
      </c>
      <c r="H207" s="126">
        <f t="shared" si="34"/>
        <v>6159.11</v>
      </c>
      <c r="I207" s="126">
        <f t="shared" si="38"/>
        <v>12318.23</v>
      </c>
      <c r="J207" s="70">
        <f>TRUNC(F207 * E207, 2)</f>
        <v>9852.2199999999993</v>
      </c>
      <c r="K207" s="189">
        <f>I207/$I$205</f>
        <v>0.70952273707771707</v>
      </c>
    </row>
    <row r="208" spans="1:11" ht="81.75" hidden="1" customHeight="1" x14ac:dyDescent="0.2">
      <c r="A208" s="63" t="s">
        <v>376</v>
      </c>
      <c r="B208" s="124" t="s">
        <v>377</v>
      </c>
      <c r="C208" s="64" t="s">
        <v>1072</v>
      </c>
      <c r="D208" s="125" t="s">
        <v>267</v>
      </c>
      <c r="E208" s="65">
        <v>4.2</v>
      </c>
      <c r="F208" s="65">
        <v>811.93</v>
      </c>
      <c r="G208" s="65">
        <f t="shared" si="37"/>
        <v>3410.1</v>
      </c>
      <c r="H208" s="126">
        <f t="shared" ref="H208:H271" si="43">TRUNC(F208*(1+I$8),2)</f>
        <v>1015.15</v>
      </c>
      <c r="I208" s="126">
        <f t="shared" si="38"/>
        <v>4263.6400000000003</v>
      </c>
      <c r="J208" s="70">
        <f>TRUNC(F208 * E208, 2)</f>
        <v>3410.1</v>
      </c>
      <c r="K208" s="189">
        <f>I208/$I$205</f>
        <v>0.2455831335113923</v>
      </c>
    </row>
    <row r="209" spans="1:11" x14ac:dyDescent="0.2">
      <c r="A209" s="127" t="s">
        <v>378</v>
      </c>
      <c r="B209" s="128"/>
      <c r="C209" s="66" t="s">
        <v>379</v>
      </c>
      <c r="D209" s="66"/>
      <c r="E209" s="141"/>
      <c r="F209" s="143">
        <f>SUM(F210:F236)</f>
        <v>6888.4099999999989</v>
      </c>
      <c r="G209" s="143">
        <f>SUM(G210:G236)</f>
        <v>37907.14</v>
      </c>
      <c r="H209" s="129">
        <f>SUM(H210:H236)</f>
        <v>8612.4399999999987</v>
      </c>
      <c r="I209" s="129">
        <f>SUM(I210:I236)</f>
        <v>47395.159999999996</v>
      </c>
      <c r="J209" s="75">
        <f>SUM(J210:J236)</f>
        <v>37907.14</v>
      </c>
      <c r="K209" s="189">
        <f>I209/$I$407</f>
        <v>2.8012928991410006E-2</v>
      </c>
    </row>
    <row r="210" spans="1:11" ht="30.75" hidden="1" customHeight="1" x14ac:dyDescent="0.2">
      <c r="A210" s="63" t="s">
        <v>380</v>
      </c>
      <c r="B210" s="124" t="s">
        <v>911</v>
      </c>
      <c r="C210" s="64" t="s">
        <v>381</v>
      </c>
      <c r="D210" s="125" t="s">
        <v>168</v>
      </c>
      <c r="E210" s="65">
        <v>5</v>
      </c>
      <c r="F210" s="65">
        <v>798.54</v>
      </c>
      <c r="G210" s="65">
        <f t="shared" si="37"/>
        <v>3992.7</v>
      </c>
      <c r="H210" s="126">
        <f t="shared" si="43"/>
        <v>998.41</v>
      </c>
      <c r="I210" s="126">
        <f t="shared" si="38"/>
        <v>4992.07</v>
      </c>
      <c r="J210" s="70">
        <f>TRUNC(F210 * E210, 2)</f>
        <v>3992.7</v>
      </c>
      <c r="K210" s="189">
        <f t="shared" ref="K210:K236" si="44">I210/$I$209</f>
        <v>0.10532868757062958</v>
      </c>
    </row>
    <row r="211" spans="1:11" ht="30" hidden="1" customHeight="1" x14ac:dyDescent="0.2">
      <c r="A211" s="63" t="s">
        <v>382</v>
      </c>
      <c r="B211" s="124" t="s">
        <v>912</v>
      </c>
      <c r="C211" s="64" t="s">
        <v>383</v>
      </c>
      <c r="D211" s="125" t="s">
        <v>168</v>
      </c>
      <c r="E211" s="65">
        <v>6</v>
      </c>
      <c r="F211" s="65">
        <v>520.01</v>
      </c>
      <c r="G211" s="65">
        <f t="shared" si="37"/>
        <v>3120.06</v>
      </c>
      <c r="H211" s="126">
        <f t="shared" si="43"/>
        <v>650.16</v>
      </c>
      <c r="I211" s="126">
        <f t="shared" si="38"/>
        <v>3901.01</v>
      </c>
      <c r="J211" s="70">
        <f t="shared" ref="J211:J236" si="45">TRUNC(F211 * E211, 2)</f>
        <v>3120.06</v>
      </c>
      <c r="K211" s="189">
        <f t="shared" si="44"/>
        <v>8.2308193494863194E-2</v>
      </c>
    </row>
    <row r="212" spans="1:11" ht="16.5" hidden="1" customHeight="1" x14ac:dyDescent="0.2">
      <c r="A212" s="63" t="s">
        <v>384</v>
      </c>
      <c r="B212" s="124" t="s">
        <v>913</v>
      </c>
      <c r="C212" s="64" t="s">
        <v>385</v>
      </c>
      <c r="D212" s="125" t="s">
        <v>168</v>
      </c>
      <c r="E212" s="65">
        <v>28</v>
      </c>
      <c r="F212" s="65">
        <v>37.18</v>
      </c>
      <c r="G212" s="65">
        <f t="shared" si="37"/>
        <v>1041.04</v>
      </c>
      <c r="H212" s="126">
        <f t="shared" si="43"/>
        <v>46.48</v>
      </c>
      <c r="I212" s="126">
        <f t="shared" si="38"/>
        <v>1301.6099999999999</v>
      </c>
      <c r="J212" s="70">
        <f t="shared" si="45"/>
        <v>1041.04</v>
      </c>
      <c r="K212" s="189">
        <f t="shared" si="44"/>
        <v>2.7462930814032487E-2</v>
      </c>
    </row>
    <row r="213" spans="1:11" ht="16.5" hidden="1" customHeight="1" x14ac:dyDescent="0.2">
      <c r="A213" s="63" t="s">
        <v>386</v>
      </c>
      <c r="B213" s="124" t="s">
        <v>387</v>
      </c>
      <c r="C213" s="64" t="s">
        <v>388</v>
      </c>
      <c r="D213" s="125" t="s">
        <v>168</v>
      </c>
      <c r="E213" s="65">
        <v>5</v>
      </c>
      <c r="F213" s="65">
        <v>660.23</v>
      </c>
      <c r="G213" s="65">
        <f t="shared" si="37"/>
        <v>3301.15</v>
      </c>
      <c r="H213" s="126">
        <f t="shared" si="43"/>
        <v>825.48</v>
      </c>
      <c r="I213" s="126">
        <f t="shared" si="38"/>
        <v>4127.42</v>
      </c>
      <c r="J213" s="70">
        <f t="shared" si="45"/>
        <v>3301.15</v>
      </c>
      <c r="K213" s="189">
        <f t="shared" si="44"/>
        <v>8.708526355855746E-2</v>
      </c>
    </row>
    <row r="214" spans="1:11" ht="30" hidden="1" customHeight="1" x14ac:dyDescent="0.2">
      <c r="A214" s="63" t="s">
        <v>389</v>
      </c>
      <c r="B214" s="124" t="s">
        <v>914</v>
      </c>
      <c r="C214" s="64" t="s">
        <v>390</v>
      </c>
      <c r="D214" s="125" t="s">
        <v>168</v>
      </c>
      <c r="E214" s="65">
        <v>3</v>
      </c>
      <c r="F214" s="65">
        <v>153.29</v>
      </c>
      <c r="G214" s="65">
        <f t="shared" si="37"/>
        <v>459.87</v>
      </c>
      <c r="H214" s="126">
        <f t="shared" si="43"/>
        <v>191.65</v>
      </c>
      <c r="I214" s="126">
        <f t="shared" si="38"/>
        <v>574.97</v>
      </c>
      <c r="J214" s="70">
        <f t="shared" si="45"/>
        <v>459.87</v>
      </c>
      <c r="K214" s="189">
        <f t="shared" si="44"/>
        <v>1.2131407510809123E-2</v>
      </c>
    </row>
    <row r="215" spans="1:11" ht="24" hidden="1" x14ac:dyDescent="0.2">
      <c r="A215" s="63" t="s">
        <v>391</v>
      </c>
      <c r="B215" s="124" t="s">
        <v>915</v>
      </c>
      <c r="C215" s="64" t="s">
        <v>1137</v>
      </c>
      <c r="D215" s="125" t="s">
        <v>168</v>
      </c>
      <c r="E215" s="65">
        <v>7</v>
      </c>
      <c r="F215" s="65">
        <v>739.23</v>
      </c>
      <c r="G215" s="65">
        <f t="shared" si="37"/>
        <v>5174.6099999999997</v>
      </c>
      <c r="H215" s="126">
        <f t="shared" si="43"/>
        <v>924.25</v>
      </c>
      <c r="I215" s="126">
        <f t="shared" si="38"/>
        <v>6469.81</v>
      </c>
      <c r="J215" s="70">
        <f t="shared" si="45"/>
        <v>5174.6099999999997</v>
      </c>
      <c r="K215" s="189">
        <f t="shared" si="44"/>
        <v>0.13650782062978584</v>
      </c>
    </row>
    <row r="216" spans="1:11" ht="18" hidden="1" customHeight="1" x14ac:dyDescent="0.2">
      <c r="A216" s="63" t="s">
        <v>392</v>
      </c>
      <c r="B216" s="124" t="s">
        <v>393</v>
      </c>
      <c r="C216" s="64" t="s">
        <v>394</v>
      </c>
      <c r="D216" s="125" t="s">
        <v>168</v>
      </c>
      <c r="E216" s="65">
        <v>10</v>
      </c>
      <c r="F216" s="65">
        <v>150.85</v>
      </c>
      <c r="G216" s="65">
        <f t="shared" si="37"/>
        <v>1508.5</v>
      </c>
      <c r="H216" s="126">
        <f t="shared" si="43"/>
        <v>188.6</v>
      </c>
      <c r="I216" s="126">
        <f t="shared" si="38"/>
        <v>1886.07</v>
      </c>
      <c r="J216" s="70">
        <f t="shared" si="45"/>
        <v>1508.5</v>
      </c>
      <c r="K216" s="189">
        <f t="shared" si="44"/>
        <v>3.9794569740876494E-2</v>
      </c>
    </row>
    <row r="217" spans="1:11" ht="27.75" hidden="1" customHeight="1" x14ac:dyDescent="0.2">
      <c r="A217" s="63" t="s">
        <v>395</v>
      </c>
      <c r="B217" s="124" t="s">
        <v>916</v>
      </c>
      <c r="C217" s="64" t="s">
        <v>396</v>
      </c>
      <c r="D217" s="125" t="s">
        <v>168</v>
      </c>
      <c r="E217" s="65">
        <v>3</v>
      </c>
      <c r="F217" s="65">
        <v>107.43</v>
      </c>
      <c r="G217" s="65">
        <f t="shared" si="37"/>
        <v>322.29000000000002</v>
      </c>
      <c r="H217" s="126">
        <f t="shared" si="43"/>
        <v>134.31</v>
      </c>
      <c r="I217" s="126">
        <f t="shared" si="38"/>
        <v>402.95</v>
      </c>
      <c r="J217" s="70">
        <f t="shared" si="45"/>
        <v>322.29000000000002</v>
      </c>
      <c r="K217" s="189">
        <f t="shared" si="44"/>
        <v>8.501922981165165E-3</v>
      </c>
    </row>
    <row r="218" spans="1:11" ht="16.5" hidden="1" customHeight="1" x14ac:dyDescent="0.2">
      <c r="A218" s="63" t="s">
        <v>397</v>
      </c>
      <c r="B218" s="124" t="s">
        <v>398</v>
      </c>
      <c r="C218" s="64" t="s">
        <v>399</v>
      </c>
      <c r="D218" s="125" t="s">
        <v>168</v>
      </c>
      <c r="E218" s="65">
        <v>3</v>
      </c>
      <c r="F218" s="65">
        <v>51.06</v>
      </c>
      <c r="G218" s="65">
        <f t="shared" si="37"/>
        <v>153.18</v>
      </c>
      <c r="H218" s="126">
        <f t="shared" si="43"/>
        <v>63.84</v>
      </c>
      <c r="I218" s="126">
        <f t="shared" si="38"/>
        <v>191.52</v>
      </c>
      <c r="J218" s="70">
        <f t="shared" si="45"/>
        <v>153.18</v>
      </c>
      <c r="K218" s="189">
        <f t="shared" si="44"/>
        <v>4.0409189461539964E-3</v>
      </c>
    </row>
    <row r="219" spans="1:11" ht="24" hidden="1" x14ac:dyDescent="0.2">
      <c r="A219" s="63" t="s">
        <v>400</v>
      </c>
      <c r="B219" s="124" t="s">
        <v>401</v>
      </c>
      <c r="C219" s="64" t="s">
        <v>402</v>
      </c>
      <c r="D219" s="125" t="s">
        <v>168</v>
      </c>
      <c r="E219" s="65">
        <v>5</v>
      </c>
      <c r="F219" s="65">
        <v>110.72</v>
      </c>
      <c r="G219" s="65">
        <f t="shared" si="37"/>
        <v>553.6</v>
      </c>
      <c r="H219" s="126">
        <f t="shared" si="43"/>
        <v>138.43</v>
      </c>
      <c r="I219" s="126">
        <f t="shared" si="38"/>
        <v>692.16</v>
      </c>
      <c r="J219" s="70">
        <f t="shared" si="45"/>
        <v>553.6</v>
      </c>
      <c r="K219" s="189">
        <f t="shared" si="44"/>
        <v>1.460402285803023E-2</v>
      </c>
    </row>
    <row r="220" spans="1:11" ht="28.5" hidden="1" customHeight="1" x14ac:dyDescent="0.2">
      <c r="A220" s="63" t="s">
        <v>403</v>
      </c>
      <c r="B220" s="124" t="s">
        <v>917</v>
      </c>
      <c r="C220" s="64" t="s">
        <v>404</v>
      </c>
      <c r="D220" s="125" t="s">
        <v>168</v>
      </c>
      <c r="E220" s="65">
        <v>5</v>
      </c>
      <c r="F220" s="65">
        <v>75.569999999999993</v>
      </c>
      <c r="G220" s="65">
        <f t="shared" si="37"/>
        <v>377.85</v>
      </c>
      <c r="H220" s="126">
        <f t="shared" si="43"/>
        <v>94.48</v>
      </c>
      <c r="I220" s="126">
        <f t="shared" si="38"/>
        <v>472.42</v>
      </c>
      <c r="J220" s="70">
        <f t="shared" si="45"/>
        <v>377.85</v>
      </c>
      <c r="K220" s="189">
        <f t="shared" si="44"/>
        <v>9.9676844639832434E-3</v>
      </c>
    </row>
    <row r="221" spans="1:11" ht="29.25" hidden="1" customHeight="1" x14ac:dyDescent="0.2">
      <c r="A221" s="63" t="s">
        <v>405</v>
      </c>
      <c r="B221" s="124" t="s">
        <v>918</v>
      </c>
      <c r="C221" s="64" t="s">
        <v>406</v>
      </c>
      <c r="D221" s="125" t="s">
        <v>168</v>
      </c>
      <c r="E221" s="65">
        <v>5</v>
      </c>
      <c r="F221" s="65">
        <v>68.19</v>
      </c>
      <c r="G221" s="65">
        <f t="shared" si="37"/>
        <v>340.95</v>
      </c>
      <c r="H221" s="126">
        <f t="shared" si="43"/>
        <v>85.25</v>
      </c>
      <c r="I221" s="126">
        <f t="shared" si="38"/>
        <v>426.28</v>
      </c>
      <c r="J221" s="70">
        <f t="shared" si="45"/>
        <v>340.95</v>
      </c>
      <c r="K221" s="189">
        <f t="shared" si="44"/>
        <v>8.9941673369179475E-3</v>
      </c>
    </row>
    <row r="222" spans="1:11" ht="25.5" hidden="1" x14ac:dyDescent="0.2">
      <c r="A222" s="63" t="s">
        <v>407</v>
      </c>
      <c r="B222" s="124" t="s">
        <v>919</v>
      </c>
      <c r="C222" s="64" t="s">
        <v>408</v>
      </c>
      <c r="D222" s="125" t="s">
        <v>168</v>
      </c>
      <c r="E222" s="65">
        <v>3</v>
      </c>
      <c r="F222" s="65">
        <v>117.17</v>
      </c>
      <c r="G222" s="65">
        <f t="shared" si="37"/>
        <v>351.51</v>
      </c>
      <c r="H222" s="126">
        <f t="shared" si="43"/>
        <v>146.49</v>
      </c>
      <c r="I222" s="126">
        <f t="shared" si="38"/>
        <v>439.49</v>
      </c>
      <c r="J222" s="70">
        <f t="shared" si="45"/>
        <v>351.51</v>
      </c>
      <c r="K222" s="189">
        <f t="shared" si="44"/>
        <v>9.2728877801024415E-3</v>
      </c>
    </row>
    <row r="223" spans="1:11" ht="28.5" hidden="1" customHeight="1" x14ac:dyDescent="0.2">
      <c r="A223" s="63" t="s">
        <v>409</v>
      </c>
      <c r="B223" s="124" t="s">
        <v>920</v>
      </c>
      <c r="C223" s="64" t="s">
        <v>410</v>
      </c>
      <c r="D223" s="125" t="s">
        <v>168</v>
      </c>
      <c r="E223" s="65">
        <v>3</v>
      </c>
      <c r="F223" s="65">
        <v>232.93</v>
      </c>
      <c r="G223" s="65">
        <f t="shared" si="37"/>
        <v>698.79</v>
      </c>
      <c r="H223" s="126">
        <f t="shared" si="43"/>
        <v>291.23</v>
      </c>
      <c r="I223" s="126">
        <f t="shared" si="38"/>
        <v>873.69</v>
      </c>
      <c r="J223" s="70">
        <f t="shared" si="45"/>
        <v>698.79</v>
      </c>
      <c r="K223" s="189">
        <f t="shared" si="44"/>
        <v>1.8434160787726007E-2</v>
      </c>
    </row>
    <row r="224" spans="1:11" ht="27.75" hidden="1" customHeight="1" x14ac:dyDescent="0.2">
      <c r="A224" s="63" t="s">
        <v>411</v>
      </c>
      <c r="B224" s="124" t="s">
        <v>921</v>
      </c>
      <c r="C224" s="64" t="s">
        <v>412</v>
      </c>
      <c r="D224" s="125" t="s">
        <v>168</v>
      </c>
      <c r="E224" s="65">
        <v>5</v>
      </c>
      <c r="F224" s="65">
        <v>92.22</v>
      </c>
      <c r="G224" s="65">
        <f t="shared" si="37"/>
        <v>461.1</v>
      </c>
      <c r="H224" s="126">
        <f t="shared" si="43"/>
        <v>115.3</v>
      </c>
      <c r="I224" s="126">
        <f t="shared" si="38"/>
        <v>576.51</v>
      </c>
      <c r="J224" s="70">
        <f t="shared" si="45"/>
        <v>461.1</v>
      </c>
      <c r="K224" s="189">
        <f t="shared" si="44"/>
        <v>1.2163900280112992E-2</v>
      </c>
    </row>
    <row r="225" spans="1:11" ht="18" hidden="1" customHeight="1" x14ac:dyDescent="0.2">
      <c r="A225" s="63" t="s">
        <v>413</v>
      </c>
      <c r="B225" s="124" t="s">
        <v>1117</v>
      </c>
      <c r="C225" s="64" t="s">
        <v>1118</v>
      </c>
      <c r="D225" s="125" t="s">
        <v>168</v>
      </c>
      <c r="E225" s="65">
        <v>21</v>
      </c>
      <c r="F225" s="65">
        <v>361.33</v>
      </c>
      <c r="G225" s="65">
        <f t="shared" si="37"/>
        <v>7587.93</v>
      </c>
      <c r="H225" s="126">
        <f t="shared" si="43"/>
        <v>451.77</v>
      </c>
      <c r="I225" s="126">
        <f t="shared" si="38"/>
        <v>9487.18</v>
      </c>
      <c r="J225" s="70">
        <f t="shared" si="45"/>
        <v>7587.93</v>
      </c>
      <c r="K225" s="189">
        <f t="shared" si="44"/>
        <v>0.20017191628849867</v>
      </c>
    </row>
    <row r="226" spans="1:11" ht="25.5" hidden="1" x14ac:dyDescent="0.2">
      <c r="A226" s="63" t="s">
        <v>414</v>
      </c>
      <c r="B226" s="124" t="s">
        <v>922</v>
      </c>
      <c r="C226" s="64" t="s">
        <v>1135</v>
      </c>
      <c r="D226" s="125" t="s">
        <v>168</v>
      </c>
      <c r="E226" s="65">
        <v>3</v>
      </c>
      <c r="F226" s="65">
        <v>103.21</v>
      </c>
      <c r="G226" s="65">
        <f t="shared" si="37"/>
        <v>309.63</v>
      </c>
      <c r="H226" s="126">
        <f t="shared" si="43"/>
        <v>129.04</v>
      </c>
      <c r="I226" s="126">
        <f t="shared" si="38"/>
        <v>387.13</v>
      </c>
      <c r="J226" s="70">
        <f t="shared" si="45"/>
        <v>309.63</v>
      </c>
      <c r="K226" s="189">
        <f t="shared" si="44"/>
        <v>8.1681336237708659E-3</v>
      </c>
    </row>
    <row r="227" spans="1:11" ht="28.5" hidden="1" customHeight="1" x14ac:dyDescent="0.2">
      <c r="A227" s="63" t="s">
        <v>415</v>
      </c>
      <c r="B227" s="124" t="s">
        <v>923</v>
      </c>
      <c r="C227" s="64" t="s">
        <v>416</v>
      </c>
      <c r="D227" s="125" t="s">
        <v>168</v>
      </c>
      <c r="E227" s="65">
        <v>7</v>
      </c>
      <c r="F227" s="65">
        <v>83.36</v>
      </c>
      <c r="G227" s="65">
        <f t="shared" si="37"/>
        <v>583.52</v>
      </c>
      <c r="H227" s="126">
        <f t="shared" si="43"/>
        <v>104.22</v>
      </c>
      <c r="I227" s="126">
        <f t="shared" si="38"/>
        <v>729.57</v>
      </c>
      <c r="J227" s="70">
        <f t="shared" si="45"/>
        <v>583.52</v>
      </c>
      <c r="K227" s="189">
        <f t="shared" si="44"/>
        <v>1.5393343961704109E-2</v>
      </c>
    </row>
    <row r="228" spans="1:11" hidden="1" x14ac:dyDescent="0.2">
      <c r="A228" s="63" t="s">
        <v>417</v>
      </c>
      <c r="B228" s="124" t="s">
        <v>924</v>
      </c>
      <c r="C228" s="64" t="s">
        <v>1136</v>
      </c>
      <c r="D228" s="125" t="s">
        <v>168</v>
      </c>
      <c r="E228" s="65">
        <v>33</v>
      </c>
      <c r="F228" s="65">
        <v>20.65</v>
      </c>
      <c r="G228" s="65">
        <f t="shared" si="37"/>
        <v>681.45</v>
      </c>
      <c r="H228" s="126">
        <f t="shared" si="43"/>
        <v>25.81</v>
      </c>
      <c r="I228" s="126">
        <f t="shared" si="38"/>
        <v>852.01</v>
      </c>
      <c r="J228" s="70">
        <f t="shared" si="45"/>
        <v>681.45</v>
      </c>
      <c r="K228" s="189">
        <f t="shared" si="44"/>
        <v>1.7976730113370226E-2</v>
      </c>
    </row>
    <row r="229" spans="1:11" ht="30" hidden="1" customHeight="1" x14ac:dyDescent="0.2">
      <c r="A229" s="63" t="s">
        <v>418</v>
      </c>
      <c r="B229" s="124" t="s">
        <v>925</v>
      </c>
      <c r="C229" s="64" t="s">
        <v>419</v>
      </c>
      <c r="D229" s="125" t="s">
        <v>168</v>
      </c>
      <c r="E229" s="65">
        <v>3</v>
      </c>
      <c r="F229" s="65">
        <v>363.91</v>
      </c>
      <c r="G229" s="65">
        <f t="shared" si="37"/>
        <v>1091.73</v>
      </c>
      <c r="H229" s="126">
        <f t="shared" si="43"/>
        <v>454.99</v>
      </c>
      <c r="I229" s="126">
        <f t="shared" si="38"/>
        <v>1364.99</v>
      </c>
      <c r="J229" s="70">
        <f t="shared" si="45"/>
        <v>1091.73</v>
      </c>
      <c r="K229" s="189">
        <f t="shared" si="44"/>
        <v>2.8800198163694356E-2</v>
      </c>
    </row>
    <row r="230" spans="1:11" ht="38.25" hidden="1" x14ac:dyDescent="0.2">
      <c r="A230" s="63" t="s">
        <v>420</v>
      </c>
      <c r="B230" s="124" t="s">
        <v>421</v>
      </c>
      <c r="C230" s="64" t="s">
        <v>422</v>
      </c>
      <c r="D230" s="125" t="s">
        <v>168</v>
      </c>
      <c r="E230" s="65">
        <v>3</v>
      </c>
      <c r="F230" s="65">
        <v>89.46</v>
      </c>
      <c r="G230" s="65">
        <f t="shared" si="37"/>
        <v>268.38</v>
      </c>
      <c r="H230" s="126">
        <f t="shared" si="43"/>
        <v>111.85</v>
      </c>
      <c r="I230" s="126">
        <f t="shared" si="38"/>
        <v>335.55</v>
      </c>
      <c r="J230" s="70">
        <f t="shared" si="45"/>
        <v>268.38</v>
      </c>
      <c r="K230" s="189">
        <f t="shared" si="44"/>
        <v>7.0798368440996937E-3</v>
      </c>
    </row>
    <row r="231" spans="1:11" ht="24" hidden="1" x14ac:dyDescent="0.2">
      <c r="A231" s="63" t="s">
        <v>423</v>
      </c>
      <c r="B231" s="124" t="s">
        <v>424</v>
      </c>
      <c r="C231" s="64" t="s">
        <v>425</v>
      </c>
      <c r="D231" s="125" t="s">
        <v>168</v>
      </c>
      <c r="E231" s="65">
        <v>2</v>
      </c>
      <c r="F231" s="65">
        <v>323.7</v>
      </c>
      <c r="G231" s="65">
        <f t="shared" si="37"/>
        <v>647.4</v>
      </c>
      <c r="H231" s="126">
        <f t="shared" si="43"/>
        <v>404.72</v>
      </c>
      <c r="I231" s="126">
        <f t="shared" si="38"/>
        <v>809.44</v>
      </c>
      <c r="J231" s="70">
        <f t="shared" si="45"/>
        <v>647.4</v>
      </c>
      <c r="K231" s="189">
        <f t="shared" si="44"/>
        <v>1.7078537133327541E-2</v>
      </c>
    </row>
    <row r="232" spans="1:11" ht="24" hidden="1" x14ac:dyDescent="0.2">
      <c r="A232" s="63" t="s">
        <v>426</v>
      </c>
      <c r="B232" s="124" t="s">
        <v>427</v>
      </c>
      <c r="C232" s="64" t="s">
        <v>428</v>
      </c>
      <c r="D232" s="125" t="s">
        <v>168</v>
      </c>
      <c r="E232" s="65">
        <v>2</v>
      </c>
      <c r="F232" s="65">
        <v>752.69</v>
      </c>
      <c r="G232" s="65">
        <f t="shared" si="37"/>
        <v>1505.38</v>
      </c>
      <c r="H232" s="126">
        <f t="shared" si="43"/>
        <v>941.08</v>
      </c>
      <c r="I232" s="126">
        <f t="shared" si="38"/>
        <v>1882.17</v>
      </c>
      <c r="J232" s="70">
        <f t="shared" si="45"/>
        <v>1505.38</v>
      </c>
      <c r="K232" s="189">
        <f t="shared" si="44"/>
        <v>3.9712282857574492E-2</v>
      </c>
    </row>
    <row r="233" spans="1:11" ht="25.5" hidden="1" x14ac:dyDescent="0.2">
      <c r="A233" s="63" t="s">
        <v>429</v>
      </c>
      <c r="B233" s="124" t="s">
        <v>926</v>
      </c>
      <c r="C233" s="64" t="s">
        <v>1138</v>
      </c>
      <c r="D233" s="125" t="s">
        <v>168</v>
      </c>
      <c r="E233" s="65">
        <v>3</v>
      </c>
      <c r="F233" s="65">
        <v>746.22</v>
      </c>
      <c r="G233" s="65">
        <f t="shared" si="37"/>
        <v>2238.66</v>
      </c>
      <c r="H233" s="126">
        <f t="shared" si="43"/>
        <v>932.99</v>
      </c>
      <c r="I233" s="126">
        <f t="shared" si="38"/>
        <v>2798.99</v>
      </c>
      <c r="J233" s="70">
        <f t="shared" si="45"/>
        <v>2238.66</v>
      </c>
      <c r="K233" s="189">
        <f t="shared" si="44"/>
        <v>5.9056452177817312E-2</v>
      </c>
    </row>
    <row r="234" spans="1:11" ht="30.75" hidden="1" customHeight="1" x14ac:dyDescent="0.2">
      <c r="A234" s="63" t="s">
        <v>430</v>
      </c>
      <c r="B234" s="124" t="s">
        <v>927</v>
      </c>
      <c r="C234" s="64" t="s">
        <v>431</v>
      </c>
      <c r="D234" s="125" t="s">
        <v>168</v>
      </c>
      <c r="E234" s="65">
        <v>7</v>
      </c>
      <c r="F234" s="65">
        <v>74.64</v>
      </c>
      <c r="G234" s="65">
        <f t="shared" si="37"/>
        <v>522.48</v>
      </c>
      <c r="H234" s="126">
        <f t="shared" si="43"/>
        <v>93.32</v>
      </c>
      <c r="I234" s="126">
        <f t="shared" si="38"/>
        <v>653.25</v>
      </c>
      <c r="J234" s="70">
        <f t="shared" si="45"/>
        <v>522.48</v>
      </c>
      <c r="K234" s="189">
        <f t="shared" si="44"/>
        <v>1.378305295308635E-2</v>
      </c>
    </row>
    <row r="235" spans="1:11" ht="17.25" hidden="1" customHeight="1" x14ac:dyDescent="0.2">
      <c r="A235" s="63" t="s">
        <v>432</v>
      </c>
      <c r="B235" s="124" t="s">
        <v>433</v>
      </c>
      <c r="C235" s="64" t="s">
        <v>434</v>
      </c>
      <c r="D235" s="125" t="s">
        <v>168</v>
      </c>
      <c r="E235" s="65">
        <v>9</v>
      </c>
      <c r="F235" s="65">
        <v>34.32</v>
      </c>
      <c r="G235" s="65">
        <f t="shared" si="37"/>
        <v>308.88</v>
      </c>
      <c r="H235" s="126">
        <f t="shared" si="43"/>
        <v>42.91</v>
      </c>
      <c r="I235" s="126">
        <f t="shared" si="38"/>
        <v>386.19</v>
      </c>
      <c r="J235" s="70">
        <f t="shared" si="45"/>
        <v>308.88</v>
      </c>
      <c r="K235" s="189">
        <f t="shared" si="44"/>
        <v>8.1483003749749979E-3</v>
      </c>
    </row>
    <row r="236" spans="1:11" ht="17.25" hidden="1" customHeight="1" x14ac:dyDescent="0.2">
      <c r="A236" s="63" t="s">
        <v>435</v>
      </c>
      <c r="B236" s="124" t="s">
        <v>436</v>
      </c>
      <c r="C236" s="64" t="s">
        <v>437</v>
      </c>
      <c r="D236" s="125" t="s">
        <v>168</v>
      </c>
      <c r="E236" s="65">
        <v>15</v>
      </c>
      <c r="F236" s="65">
        <v>20.3</v>
      </c>
      <c r="G236" s="65">
        <f t="shared" si="37"/>
        <v>304.5</v>
      </c>
      <c r="H236" s="126">
        <f t="shared" si="43"/>
        <v>25.38</v>
      </c>
      <c r="I236" s="126">
        <f t="shared" si="38"/>
        <v>380.71</v>
      </c>
      <c r="J236" s="70">
        <f t="shared" si="45"/>
        <v>304.5</v>
      </c>
      <c r="K236" s="189">
        <f t="shared" si="44"/>
        <v>8.032676754335253E-3</v>
      </c>
    </row>
    <row r="237" spans="1:11" x14ac:dyDescent="0.2">
      <c r="A237" s="127" t="s">
        <v>438</v>
      </c>
      <c r="B237" s="128"/>
      <c r="C237" s="66" t="s">
        <v>1048</v>
      </c>
      <c r="D237" s="66"/>
      <c r="E237" s="141"/>
      <c r="F237" s="143">
        <f>SUM(F238:F257)</f>
        <v>1227.9100000000001</v>
      </c>
      <c r="G237" s="143">
        <f>SUM(G238:G257)</f>
        <v>4481.7700000000004</v>
      </c>
      <c r="H237" s="129">
        <f>SUM(H238:H257)</f>
        <v>1535.16</v>
      </c>
      <c r="I237" s="129">
        <f>SUM(I238:I257)</f>
        <v>5603.46</v>
      </c>
      <c r="J237" s="75">
        <f>SUM(J238:J257)</f>
        <v>4481.7700000000004</v>
      </c>
      <c r="K237" s="189">
        <f>I237/$I$407</f>
        <v>3.3119273589583059E-3</v>
      </c>
    </row>
    <row r="238" spans="1:11" ht="29.25" hidden="1" customHeight="1" x14ac:dyDescent="0.2">
      <c r="A238" s="63" t="s">
        <v>439</v>
      </c>
      <c r="B238" s="124" t="s">
        <v>928</v>
      </c>
      <c r="C238" s="64" t="s">
        <v>440</v>
      </c>
      <c r="D238" s="125" t="s">
        <v>267</v>
      </c>
      <c r="E238" s="65">
        <v>14</v>
      </c>
      <c r="F238" s="65">
        <v>4.6900000000000004</v>
      </c>
      <c r="G238" s="65">
        <f t="shared" si="37"/>
        <v>65.66</v>
      </c>
      <c r="H238" s="126">
        <f t="shared" si="43"/>
        <v>5.86</v>
      </c>
      <c r="I238" s="126">
        <f t="shared" si="38"/>
        <v>82.09</v>
      </c>
      <c r="J238" s="70">
        <f>TRUNC(F238 * E238, 2)</f>
        <v>65.66</v>
      </c>
      <c r="K238" s="189">
        <f t="shared" ref="K238:K257" si="46">I238/$I$237</f>
        <v>1.464987704025727E-2</v>
      </c>
    </row>
    <row r="239" spans="1:11" ht="29.25" hidden="1" customHeight="1" x14ac:dyDescent="0.2">
      <c r="A239" s="63" t="s">
        <v>441</v>
      </c>
      <c r="B239" s="124" t="s">
        <v>929</v>
      </c>
      <c r="C239" s="64" t="s">
        <v>442</v>
      </c>
      <c r="D239" s="125" t="s">
        <v>267</v>
      </c>
      <c r="E239" s="65">
        <v>6</v>
      </c>
      <c r="F239" s="65">
        <v>14.44</v>
      </c>
      <c r="G239" s="65">
        <f t="shared" si="37"/>
        <v>86.64</v>
      </c>
      <c r="H239" s="126">
        <f t="shared" si="43"/>
        <v>18.05</v>
      </c>
      <c r="I239" s="126">
        <f t="shared" si="38"/>
        <v>108.32</v>
      </c>
      <c r="J239" s="70">
        <f t="shared" ref="J239:J257" si="47">TRUNC(F239 * E239, 2)</f>
        <v>86.64</v>
      </c>
      <c r="K239" s="189">
        <f t="shared" si="46"/>
        <v>1.9330913399935038E-2</v>
      </c>
    </row>
    <row r="240" spans="1:11" ht="30" hidden="1" customHeight="1" x14ac:dyDescent="0.2">
      <c r="A240" s="63" t="s">
        <v>443</v>
      </c>
      <c r="B240" s="124" t="s">
        <v>930</v>
      </c>
      <c r="C240" s="64" t="s">
        <v>444</v>
      </c>
      <c r="D240" s="125" t="s">
        <v>267</v>
      </c>
      <c r="E240" s="65">
        <v>6</v>
      </c>
      <c r="F240" s="65">
        <v>15.96</v>
      </c>
      <c r="G240" s="65">
        <f t="shared" ref="G240:G303" si="48">TRUNC(E240*F240,2)</f>
        <v>95.76</v>
      </c>
      <c r="H240" s="126">
        <f t="shared" si="43"/>
        <v>19.95</v>
      </c>
      <c r="I240" s="126">
        <f t="shared" ref="I240:I303" si="49">TRUNC(G240*(1+I$8),2)</f>
        <v>119.72</v>
      </c>
      <c r="J240" s="70">
        <f t="shared" si="47"/>
        <v>95.76</v>
      </c>
      <c r="K240" s="189">
        <f t="shared" si="46"/>
        <v>2.1365370681685959E-2</v>
      </c>
    </row>
    <row r="241" spans="1:11" ht="28.5" hidden="1" customHeight="1" x14ac:dyDescent="0.2">
      <c r="A241" s="63" t="s">
        <v>445</v>
      </c>
      <c r="B241" s="124" t="s">
        <v>931</v>
      </c>
      <c r="C241" s="64" t="s">
        <v>446</v>
      </c>
      <c r="D241" s="125" t="s">
        <v>168</v>
      </c>
      <c r="E241" s="65">
        <v>6</v>
      </c>
      <c r="F241" s="65">
        <v>10.32</v>
      </c>
      <c r="G241" s="65">
        <f t="shared" si="48"/>
        <v>61.92</v>
      </c>
      <c r="H241" s="126">
        <f t="shared" si="43"/>
        <v>12.9</v>
      </c>
      <c r="I241" s="126">
        <f t="shared" si="49"/>
        <v>77.41</v>
      </c>
      <c r="J241" s="70">
        <f t="shared" si="47"/>
        <v>61.92</v>
      </c>
      <c r="K241" s="189">
        <f t="shared" si="46"/>
        <v>1.3814678787748997E-2</v>
      </c>
    </row>
    <row r="242" spans="1:11" ht="28.5" hidden="1" customHeight="1" x14ac:dyDescent="0.2">
      <c r="A242" s="63" t="s">
        <v>447</v>
      </c>
      <c r="B242" s="124" t="s">
        <v>932</v>
      </c>
      <c r="C242" s="64" t="s">
        <v>448</v>
      </c>
      <c r="D242" s="125" t="s">
        <v>168</v>
      </c>
      <c r="E242" s="65">
        <v>3</v>
      </c>
      <c r="F242" s="65">
        <v>9.59</v>
      </c>
      <c r="G242" s="65">
        <f t="shared" si="48"/>
        <v>28.77</v>
      </c>
      <c r="H242" s="126">
        <f t="shared" si="43"/>
        <v>11.99</v>
      </c>
      <c r="I242" s="126">
        <f t="shared" si="49"/>
        <v>35.97</v>
      </c>
      <c r="J242" s="70">
        <f t="shared" si="47"/>
        <v>28.77</v>
      </c>
      <c r="K242" s="189">
        <f t="shared" si="46"/>
        <v>6.419248107419344E-3</v>
      </c>
    </row>
    <row r="243" spans="1:11" ht="29.25" hidden="1" customHeight="1" x14ac:dyDescent="0.2">
      <c r="A243" s="63" t="s">
        <v>449</v>
      </c>
      <c r="B243" s="124" t="s">
        <v>933</v>
      </c>
      <c r="C243" s="64" t="s">
        <v>450</v>
      </c>
      <c r="D243" s="125" t="s">
        <v>168</v>
      </c>
      <c r="E243" s="65">
        <v>3</v>
      </c>
      <c r="F243" s="65">
        <v>13.61</v>
      </c>
      <c r="G243" s="65">
        <f t="shared" si="48"/>
        <v>40.83</v>
      </c>
      <c r="H243" s="126">
        <f t="shared" si="43"/>
        <v>17.010000000000002</v>
      </c>
      <c r="I243" s="126">
        <f t="shared" si="49"/>
        <v>51.04</v>
      </c>
      <c r="J243" s="70">
        <f t="shared" si="47"/>
        <v>40.83</v>
      </c>
      <c r="K243" s="189">
        <f t="shared" si="46"/>
        <v>9.1086578649620057E-3</v>
      </c>
    </row>
    <row r="244" spans="1:11" ht="27.75" hidden="1" customHeight="1" x14ac:dyDescent="0.2">
      <c r="A244" s="63" t="s">
        <v>451</v>
      </c>
      <c r="B244" s="124" t="s">
        <v>934</v>
      </c>
      <c r="C244" s="64" t="s">
        <v>452</v>
      </c>
      <c r="D244" s="125" t="s">
        <v>168</v>
      </c>
      <c r="E244" s="65">
        <v>3</v>
      </c>
      <c r="F244" s="65">
        <v>18.489999999999998</v>
      </c>
      <c r="G244" s="65">
        <f t="shared" si="48"/>
        <v>55.47</v>
      </c>
      <c r="H244" s="126">
        <f t="shared" si="43"/>
        <v>23.11</v>
      </c>
      <c r="I244" s="126">
        <f t="shared" si="49"/>
        <v>69.349999999999994</v>
      </c>
      <c r="J244" s="70">
        <f t="shared" si="47"/>
        <v>55.47</v>
      </c>
      <c r="K244" s="189">
        <f t="shared" si="46"/>
        <v>1.2376281797318084E-2</v>
      </c>
    </row>
    <row r="245" spans="1:11" ht="30" hidden="1" customHeight="1" x14ac:dyDescent="0.2">
      <c r="A245" s="63" t="s">
        <v>453</v>
      </c>
      <c r="B245" s="124" t="s">
        <v>935</v>
      </c>
      <c r="C245" s="64" t="s">
        <v>454</v>
      </c>
      <c r="D245" s="125" t="s">
        <v>168</v>
      </c>
      <c r="E245" s="65">
        <v>3</v>
      </c>
      <c r="F245" s="65">
        <v>23.94</v>
      </c>
      <c r="G245" s="65">
        <f t="shared" si="48"/>
        <v>71.819999999999993</v>
      </c>
      <c r="H245" s="126">
        <f t="shared" si="43"/>
        <v>29.93</v>
      </c>
      <c r="I245" s="126">
        <f t="shared" si="49"/>
        <v>89.79</v>
      </c>
      <c r="J245" s="70">
        <f t="shared" si="47"/>
        <v>71.819999999999993</v>
      </c>
      <c r="K245" s="189">
        <f t="shared" si="46"/>
        <v>1.6024028011264471E-2</v>
      </c>
    </row>
    <row r="246" spans="1:11" ht="28.5" hidden="1" customHeight="1" x14ac:dyDescent="0.2">
      <c r="A246" s="63" t="s">
        <v>455</v>
      </c>
      <c r="B246" s="124" t="s">
        <v>936</v>
      </c>
      <c r="C246" s="64" t="s">
        <v>456</v>
      </c>
      <c r="D246" s="125" t="s">
        <v>168</v>
      </c>
      <c r="E246" s="65">
        <v>3</v>
      </c>
      <c r="F246" s="65">
        <v>10.84</v>
      </c>
      <c r="G246" s="65">
        <f t="shared" si="48"/>
        <v>32.520000000000003</v>
      </c>
      <c r="H246" s="126">
        <f t="shared" si="43"/>
        <v>13.55</v>
      </c>
      <c r="I246" s="126">
        <f t="shared" si="49"/>
        <v>40.65</v>
      </c>
      <c r="J246" s="70">
        <f t="shared" si="47"/>
        <v>32.520000000000003</v>
      </c>
      <c r="K246" s="189">
        <f t="shared" si="46"/>
        <v>7.2544463599276158E-3</v>
      </c>
    </row>
    <row r="247" spans="1:11" ht="30" hidden="1" customHeight="1" x14ac:dyDescent="0.2">
      <c r="A247" s="63" t="s">
        <v>457</v>
      </c>
      <c r="B247" s="124" t="s">
        <v>937</v>
      </c>
      <c r="C247" s="64" t="s">
        <v>458</v>
      </c>
      <c r="D247" s="125" t="s">
        <v>168</v>
      </c>
      <c r="E247" s="65">
        <v>3</v>
      </c>
      <c r="F247" s="65">
        <v>11.58</v>
      </c>
      <c r="G247" s="65">
        <f t="shared" si="48"/>
        <v>34.74</v>
      </c>
      <c r="H247" s="126">
        <f t="shared" si="43"/>
        <v>14.47</v>
      </c>
      <c r="I247" s="126">
        <f t="shared" si="49"/>
        <v>43.43</v>
      </c>
      <c r="J247" s="70">
        <f t="shared" si="47"/>
        <v>34.74</v>
      </c>
      <c r="K247" s="189">
        <f t="shared" si="46"/>
        <v>7.7505683988107347E-3</v>
      </c>
    </row>
    <row r="248" spans="1:11" ht="27.75" hidden="1" customHeight="1" x14ac:dyDescent="0.2">
      <c r="A248" s="63" t="s">
        <v>459</v>
      </c>
      <c r="B248" s="124" t="s">
        <v>938</v>
      </c>
      <c r="C248" s="64" t="s">
        <v>460</v>
      </c>
      <c r="D248" s="125" t="s">
        <v>168</v>
      </c>
      <c r="E248" s="65">
        <v>5</v>
      </c>
      <c r="F248" s="65">
        <v>12.22</v>
      </c>
      <c r="G248" s="65">
        <f t="shared" si="48"/>
        <v>61.1</v>
      </c>
      <c r="H248" s="126">
        <f t="shared" si="43"/>
        <v>15.27</v>
      </c>
      <c r="I248" s="126">
        <f t="shared" si="49"/>
        <v>76.39</v>
      </c>
      <c r="J248" s="70">
        <f t="shared" si="47"/>
        <v>61.1</v>
      </c>
      <c r="K248" s="189">
        <f t="shared" si="46"/>
        <v>1.3632648399381811E-2</v>
      </c>
    </row>
    <row r="249" spans="1:11" ht="27" hidden="1" customHeight="1" x14ac:dyDescent="0.2">
      <c r="A249" s="63" t="s">
        <v>461</v>
      </c>
      <c r="B249" s="124" t="s">
        <v>939</v>
      </c>
      <c r="C249" s="64" t="s">
        <v>462</v>
      </c>
      <c r="D249" s="125" t="s">
        <v>168</v>
      </c>
      <c r="E249" s="65">
        <v>3</v>
      </c>
      <c r="F249" s="65">
        <v>7.86</v>
      </c>
      <c r="G249" s="65">
        <f t="shared" si="48"/>
        <v>23.58</v>
      </c>
      <c r="H249" s="126">
        <f t="shared" si="43"/>
        <v>9.82</v>
      </c>
      <c r="I249" s="126">
        <f t="shared" si="49"/>
        <v>29.48</v>
      </c>
      <c r="J249" s="70">
        <f t="shared" si="47"/>
        <v>23.58</v>
      </c>
      <c r="K249" s="189">
        <f t="shared" si="46"/>
        <v>5.2610351461418485E-3</v>
      </c>
    </row>
    <row r="250" spans="1:11" ht="30" hidden="1" customHeight="1" x14ac:dyDescent="0.2">
      <c r="A250" s="63" t="s">
        <v>463</v>
      </c>
      <c r="B250" s="124" t="s">
        <v>940</v>
      </c>
      <c r="C250" s="64" t="s">
        <v>464</v>
      </c>
      <c r="D250" s="125" t="s">
        <v>168</v>
      </c>
      <c r="E250" s="65">
        <v>9</v>
      </c>
      <c r="F250" s="65">
        <v>4.96</v>
      </c>
      <c r="G250" s="65">
        <f t="shared" si="48"/>
        <v>44.64</v>
      </c>
      <c r="H250" s="126">
        <f t="shared" si="43"/>
        <v>6.2</v>
      </c>
      <c r="I250" s="126">
        <f t="shared" si="49"/>
        <v>55.81</v>
      </c>
      <c r="J250" s="70">
        <f t="shared" si="47"/>
        <v>44.64</v>
      </c>
      <c r="K250" s="189">
        <f t="shared" si="46"/>
        <v>9.9599176223262066E-3</v>
      </c>
    </row>
    <row r="251" spans="1:11" ht="30" hidden="1" customHeight="1" x14ac:dyDescent="0.2">
      <c r="A251" s="63" t="s">
        <v>465</v>
      </c>
      <c r="B251" s="124" t="s">
        <v>941</v>
      </c>
      <c r="C251" s="64" t="s">
        <v>466</v>
      </c>
      <c r="D251" s="125" t="s">
        <v>168</v>
      </c>
      <c r="E251" s="65">
        <v>7</v>
      </c>
      <c r="F251" s="65">
        <v>5.23</v>
      </c>
      <c r="G251" s="65">
        <f t="shared" si="48"/>
        <v>36.61</v>
      </c>
      <c r="H251" s="126">
        <f t="shared" si="43"/>
        <v>6.53</v>
      </c>
      <c r="I251" s="126">
        <f t="shared" si="49"/>
        <v>45.77</v>
      </c>
      <c r="J251" s="70">
        <f t="shared" si="47"/>
        <v>36.61</v>
      </c>
      <c r="K251" s="189">
        <f t="shared" si="46"/>
        <v>8.1681675250648705E-3</v>
      </c>
    </row>
    <row r="252" spans="1:11" ht="40.5" hidden="1" customHeight="1" x14ac:dyDescent="0.2">
      <c r="A252" s="63" t="s">
        <v>467</v>
      </c>
      <c r="B252" s="124" t="s">
        <v>942</v>
      </c>
      <c r="C252" s="64" t="s">
        <v>468</v>
      </c>
      <c r="D252" s="125" t="s">
        <v>168</v>
      </c>
      <c r="E252" s="65">
        <v>7</v>
      </c>
      <c r="F252" s="65">
        <v>34.08</v>
      </c>
      <c r="G252" s="65">
        <f t="shared" si="48"/>
        <v>238.56</v>
      </c>
      <c r="H252" s="126">
        <f t="shared" si="43"/>
        <v>42.61</v>
      </c>
      <c r="I252" s="126">
        <f t="shared" si="49"/>
        <v>298.27</v>
      </c>
      <c r="J252" s="70">
        <f t="shared" si="47"/>
        <v>238.56</v>
      </c>
      <c r="K252" s="189">
        <f t="shared" si="46"/>
        <v>5.3229611704197044E-2</v>
      </c>
    </row>
    <row r="253" spans="1:11" ht="30.75" hidden="1" customHeight="1" x14ac:dyDescent="0.2">
      <c r="A253" s="63" t="s">
        <v>469</v>
      </c>
      <c r="B253" s="124" t="s">
        <v>943</v>
      </c>
      <c r="C253" s="64" t="s">
        <v>1056</v>
      </c>
      <c r="D253" s="125" t="s">
        <v>168</v>
      </c>
      <c r="E253" s="65">
        <v>3</v>
      </c>
      <c r="F253" s="65">
        <v>9.41</v>
      </c>
      <c r="G253" s="65">
        <f t="shared" si="48"/>
        <v>28.23</v>
      </c>
      <c r="H253" s="126">
        <f t="shared" si="43"/>
        <v>11.76</v>
      </c>
      <c r="I253" s="126">
        <f t="shared" si="49"/>
        <v>35.29</v>
      </c>
      <c r="J253" s="70">
        <f t="shared" si="47"/>
        <v>28.23</v>
      </c>
      <c r="K253" s="189">
        <f t="shared" si="46"/>
        <v>6.2978945151745524E-3</v>
      </c>
    </row>
    <row r="254" spans="1:11" ht="25.5" hidden="1" x14ac:dyDescent="0.2">
      <c r="A254" s="63" t="s">
        <v>470</v>
      </c>
      <c r="B254" s="124" t="s">
        <v>944</v>
      </c>
      <c r="C254" s="64" t="s">
        <v>471</v>
      </c>
      <c r="D254" s="125" t="s">
        <v>168</v>
      </c>
      <c r="E254" s="65">
        <v>3</v>
      </c>
      <c r="F254" s="65">
        <v>282.73</v>
      </c>
      <c r="G254" s="65">
        <f t="shared" si="48"/>
        <v>848.19</v>
      </c>
      <c r="H254" s="126">
        <f t="shared" si="43"/>
        <v>353.49</v>
      </c>
      <c r="I254" s="126">
        <f t="shared" si="49"/>
        <v>1060.49</v>
      </c>
      <c r="J254" s="70">
        <f t="shared" si="47"/>
        <v>848.19</v>
      </c>
      <c r="K254" s="189">
        <f t="shared" si="46"/>
        <v>0.18925628094070449</v>
      </c>
    </row>
    <row r="255" spans="1:11" ht="41.25" hidden="1" customHeight="1" x14ac:dyDescent="0.2">
      <c r="A255" s="63" t="s">
        <v>472</v>
      </c>
      <c r="B255" s="124" t="s">
        <v>473</v>
      </c>
      <c r="C255" s="64" t="s">
        <v>474</v>
      </c>
      <c r="D255" s="125" t="s">
        <v>168</v>
      </c>
      <c r="E255" s="65">
        <v>2</v>
      </c>
      <c r="F255" s="65">
        <v>627.46</v>
      </c>
      <c r="G255" s="65">
        <f t="shared" si="48"/>
        <v>1254.92</v>
      </c>
      <c r="H255" s="126">
        <f t="shared" si="43"/>
        <v>784.51</v>
      </c>
      <c r="I255" s="126">
        <f t="shared" si="49"/>
        <v>1569.02</v>
      </c>
      <c r="J255" s="70">
        <f t="shared" si="47"/>
        <v>1254.92</v>
      </c>
      <c r="K255" s="189">
        <f t="shared" si="46"/>
        <v>0.28000913721165138</v>
      </c>
    </row>
    <row r="256" spans="1:11" ht="16.5" hidden="1" customHeight="1" x14ac:dyDescent="0.2">
      <c r="A256" s="63" t="s">
        <v>475</v>
      </c>
      <c r="B256" s="124" t="s">
        <v>945</v>
      </c>
      <c r="C256" s="64" t="s">
        <v>476</v>
      </c>
      <c r="D256" s="125" t="s">
        <v>9</v>
      </c>
      <c r="E256" s="65">
        <v>14</v>
      </c>
      <c r="F256" s="65">
        <v>68.790000000000006</v>
      </c>
      <c r="G256" s="65">
        <f t="shared" si="48"/>
        <v>963.06</v>
      </c>
      <c r="H256" s="126">
        <f t="shared" si="43"/>
        <v>86</v>
      </c>
      <c r="I256" s="126">
        <f t="shared" si="49"/>
        <v>1204.1099999999999</v>
      </c>
      <c r="J256" s="70">
        <f t="shared" si="47"/>
        <v>963.06</v>
      </c>
      <c r="K256" s="189">
        <f t="shared" si="46"/>
        <v>0.21488687346746474</v>
      </c>
    </row>
    <row r="257" spans="1:11" ht="18.75" hidden="1" customHeight="1" x14ac:dyDescent="0.2">
      <c r="A257" s="63" t="s">
        <v>477</v>
      </c>
      <c r="B257" s="124" t="s">
        <v>946</v>
      </c>
      <c r="C257" s="64" t="s">
        <v>478</v>
      </c>
      <c r="D257" s="125" t="s">
        <v>9</v>
      </c>
      <c r="E257" s="65">
        <v>9.8000000000000007</v>
      </c>
      <c r="F257" s="65">
        <v>41.71</v>
      </c>
      <c r="G257" s="65">
        <f t="shared" si="48"/>
        <v>408.75</v>
      </c>
      <c r="H257" s="126">
        <f t="shared" si="43"/>
        <v>52.15</v>
      </c>
      <c r="I257" s="126">
        <f t="shared" si="49"/>
        <v>511.06</v>
      </c>
      <c r="J257" s="70">
        <f t="shared" si="47"/>
        <v>408.75</v>
      </c>
      <c r="K257" s="189">
        <f t="shared" si="46"/>
        <v>9.1204363018563536E-2</v>
      </c>
    </row>
    <row r="258" spans="1:11" x14ac:dyDescent="0.2">
      <c r="A258" s="127" t="s">
        <v>479</v>
      </c>
      <c r="B258" s="128"/>
      <c r="C258" s="66" t="s">
        <v>480</v>
      </c>
      <c r="D258" s="66"/>
      <c r="E258" s="141"/>
      <c r="F258" s="143">
        <f>SUM(F259:F289)</f>
        <v>2723.12</v>
      </c>
      <c r="G258" s="143">
        <f>SUM(G259:G289)</f>
        <v>11703.62</v>
      </c>
      <c r="H258" s="129">
        <f>SUM(H259:H289)</f>
        <v>3404.55</v>
      </c>
      <c r="I258" s="129">
        <f>SUM(I259:I289)</f>
        <v>14632.880000000003</v>
      </c>
      <c r="J258" s="75">
        <f>SUM(J259:J289)</f>
        <v>11703.62</v>
      </c>
      <c r="K258" s="189">
        <f>I258/$I$407</f>
        <v>8.6487697980094126E-3</v>
      </c>
    </row>
    <row r="259" spans="1:11" ht="30" hidden="1" customHeight="1" x14ac:dyDescent="0.2">
      <c r="A259" s="63" t="s">
        <v>481</v>
      </c>
      <c r="B259" s="124" t="s">
        <v>947</v>
      </c>
      <c r="C259" s="64" t="s">
        <v>482</v>
      </c>
      <c r="D259" s="125" t="s">
        <v>267</v>
      </c>
      <c r="E259" s="65">
        <v>18</v>
      </c>
      <c r="F259" s="65">
        <v>17.53</v>
      </c>
      <c r="G259" s="65">
        <f t="shared" si="48"/>
        <v>315.54000000000002</v>
      </c>
      <c r="H259" s="126">
        <f t="shared" si="43"/>
        <v>21.91</v>
      </c>
      <c r="I259" s="126">
        <f t="shared" si="49"/>
        <v>394.51</v>
      </c>
      <c r="J259" s="70">
        <f>TRUNC(F259 * E259, 2)</f>
        <v>315.54000000000002</v>
      </c>
      <c r="K259" s="189">
        <f t="shared" ref="K259:K289" si="50">I259/$I$258</f>
        <v>2.6960516316678597E-2</v>
      </c>
    </row>
    <row r="260" spans="1:11" ht="28.5" hidden="1" customHeight="1" x14ac:dyDescent="0.2">
      <c r="A260" s="63" t="s">
        <v>483</v>
      </c>
      <c r="B260" s="124" t="s">
        <v>948</v>
      </c>
      <c r="C260" s="64" t="s">
        <v>484</v>
      </c>
      <c r="D260" s="125" t="s">
        <v>267</v>
      </c>
      <c r="E260" s="65">
        <v>12</v>
      </c>
      <c r="F260" s="65">
        <v>22.42</v>
      </c>
      <c r="G260" s="65">
        <f t="shared" si="48"/>
        <v>269.04000000000002</v>
      </c>
      <c r="H260" s="126">
        <f t="shared" si="43"/>
        <v>28.03</v>
      </c>
      <c r="I260" s="126">
        <f t="shared" si="49"/>
        <v>336.38</v>
      </c>
      <c r="J260" s="70">
        <f t="shared" ref="J260:J289" si="51">TRUNC(F260 * E260, 2)</f>
        <v>269.04000000000002</v>
      </c>
      <c r="K260" s="189">
        <f t="shared" si="50"/>
        <v>2.2987955891116438E-2</v>
      </c>
    </row>
    <row r="261" spans="1:11" ht="30.75" hidden="1" customHeight="1" x14ac:dyDescent="0.2">
      <c r="A261" s="63" t="s">
        <v>485</v>
      </c>
      <c r="B261" s="124" t="s">
        <v>949</v>
      </c>
      <c r="C261" s="64" t="s">
        <v>486</v>
      </c>
      <c r="D261" s="125" t="s">
        <v>267</v>
      </c>
      <c r="E261" s="65">
        <v>6</v>
      </c>
      <c r="F261" s="65">
        <v>27.98</v>
      </c>
      <c r="G261" s="65">
        <f t="shared" si="48"/>
        <v>167.88</v>
      </c>
      <c r="H261" s="126">
        <f t="shared" si="43"/>
        <v>34.979999999999997</v>
      </c>
      <c r="I261" s="126">
        <f t="shared" si="49"/>
        <v>209.9</v>
      </c>
      <c r="J261" s="70">
        <f t="shared" si="51"/>
        <v>167.88</v>
      </c>
      <c r="K261" s="189">
        <f t="shared" si="50"/>
        <v>1.4344407936100069E-2</v>
      </c>
    </row>
    <row r="262" spans="1:11" ht="27.75" hidden="1" customHeight="1" x14ac:dyDescent="0.2">
      <c r="A262" s="63" t="s">
        <v>487</v>
      </c>
      <c r="B262" s="124" t="s">
        <v>950</v>
      </c>
      <c r="C262" s="64" t="s">
        <v>488</v>
      </c>
      <c r="D262" s="125" t="s">
        <v>267</v>
      </c>
      <c r="E262" s="65">
        <v>72</v>
      </c>
      <c r="F262" s="65">
        <v>31.2</v>
      </c>
      <c r="G262" s="65">
        <f t="shared" si="48"/>
        <v>2246.4</v>
      </c>
      <c r="H262" s="126">
        <f t="shared" si="43"/>
        <v>39</v>
      </c>
      <c r="I262" s="126">
        <f t="shared" si="49"/>
        <v>2808.67</v>
      </c>
      <c r="J262" s="70">
        <f t="shared" si="51"/>
        <v>2246.4</v>
      </c>
      <c r="K262" s="189">
        <f t="shared" si="50"/>
        <v>0.19194239274838579</v>
      </c>
    </row>
    <row r="263" spans="1:11" ht="40.5" hidden="1" customHeight="1" x14ac:dyDescent="0.2">
      <c r="A263" s="63" t="s">
        <v>489</v>
      </c>
      <c r="B263" s="124" t="s">
        <v>951</v>
      </c>
      <c r="C263" s="64" t="s">
        <v>490</v>
      </c>
      <c r="D263" s="125" t="s">
        <v>168</v>
      </c>
      <c r="E263" s="65">
        <v>9</v>
      </c>
      <c r="F263" s="65">
        <v>8.15</v>
      </c>
      <c r="G263" s="65">
        <f t="shared" si="48"/>
        <v>73.349999999999994</v>
      </c>
      <c r="H263" s="126">
        <f t="shared" si="43"/>
        <v>10.18</v>
      </c>
      <c r="I263" s="126">
        <f t="shared" si="49"/>
        <v>91.7</v>
      </c>
      <c r="J263" s="70">
        <f t="shared" si="51"/>
        <v>73.349999999999994</v>
      </c>
      <c r="K263" s="189">
        <f t="shared" si="50"/>
        <v>6.2667089458807827E-3</v>
      </c>
    </row>
    <row r="264" spans="1:11" ht="37.5" hidden="1" customHeight="1" x14ac:dyDescent="0.2">
      <c r="A264" s="63" t="s">
        <v>491</v>
      </c>
      <c r="B264" s="124" t="s">
        <v>952</v>
      </c>
      <c r="C264" s="64" t="s">
        <v>492</v>
      </c>
      <c r="D264" s="125" t="s">
        <v>168</v>
      </c>
      <c r="E264" s="65">
        <v>3</v>
      </c>
      <c r="F264" s="65">
        <v>8.35</v>
      </c>
      <c r="G264" s="65">
        <f t="shared" si="48"/>
        <v>25.05</v>
      </c>
      <c r="H264" s="126">
        <f t="shared" si="43"/>
        <v>10.44</v>
      </c>
      <c r="I264" s="126">
        <f t="shared" si="49"/>
        <v>31.32</v>
      </c>
      <c r="J264" s="70">
        <f t="shared" si="51"/>
        <v>25.05</v>
      </c>
      <c r="K264" s="189">
        <f t="shared" si="50"/>
        <v>2.1403852146672422E-3</v>
      </c>
    </row>
    <row r="265" spans="1:11" ht="38.25" hidden="1" customHeight="1" x14ac:dyDescent="0.2">
      <c r="A265" s="63" t="s">
        <v>493</v>
      </c>
      <c r="B265" s="124" t="s">
        <v>953</v>
      </c>
      <c r="C265" s="64" t="s">
        <v>494</v>
      </c>
      <c r="D265" s="125" t="s">
        <v>168</v>
      </c>
      <c r="E265" s="65">
        <v>3</v>
      </c>
      <c r="F265" s="65">
        <v>14.13</v>
      </c>
      <c r="G265" s="65">
        <f t="shared" si="48"/>
        <v>42.39</v>
      </c>
      <c r="H265" s="126">
        <f t="shared" si="43"/>
        <v>17.66</v>
      </c>
      <c r="I265" s="126">
        <f t="shared" si="49"/>
        <v>53</v>
      </c>
      <c r="J265" s="70">
        <f t="shared" si="51"/>
        <v>42.39</v>
      </c>
      <c r="K265" s="189">
        <f t="shared" si="50"/>
        <v>3.6219800886770062E-3</v>
      </c>
    </row>
    <row r="266" spans="1:11" ht="39" hidden="1" customHeight="1" x14ac:dyDescent="0.2">
      <c r="A266" s="63" t="s">
        <v>495</v>
      </c>
      <c r="B266" s="124" t="s">
        <v>954</v>
      </c>
      <c r="C266" s="64" t="s">
        <v>496</v>
      </c>
      <c r="D266" s="125" t="s">
        <v>168</v>
      </c>
      <c r="E266" s="65">
        <v>3</v>
      </c>
      <c r="F266" s="65">
        <v>21.37</v>
      </c>
      <c r="G266" s="65">
        <f t="shared" si="48"/>
        <v>64.11</v>
      </c>
      <c r="H266" s="126">
        <f t="shared" si="43"/>
        <v>26.71</v>
      </c>
      <c r="I266" s="126">
        <f t="shared" si="49"/>
        <v>80.150000000000006</v>
      </c>
      <c r="J266" s="70">
        <f t="shared" si="51"/>
        <v>64.11</v>
      </c>
      <c r="K266" s="189">
        <f t="shared" si="50"/>
        <v>5.4773906435370201E-3</v>
      </c>
    </row>
    <row r="267" spans="1:11" ht="35.25" hidden="1" customHeight="1" x14ac:dyDescent="0.2">
      <c r="A267" s="63" t="s">
        <v>497</v>
      </c>
      <c r="B267" s="124" t="s">
        <v>955</v>
      </c>
      <c r="C267" s="64" t="s">
        <v>498</v>
      </c>
      <c r="D267" s="125" t="s">
        <v>168</v>
      </c>
      <c r="E267" s="65">
        <v>9</v>
      </c>
      <c r="F267" s="65">
        <v>24.94</v>
      </c>
      <c r="G267" s="65">
        <f t="shared" si="48"/>
        <v>224.46</v>
      </c>
      <c r="H267" s="126">
        <f t="shared" si="43"/>
        <v>31.18</v>
      </c>
      <c r="I267" s="126">
        <f t="shared" si="49"/>
        <v>280.64</v>
      </c>
      <c r="J267" s="70">
        <f t="shared" si="51"/>
        <v>224.46</v>
      </c>
      <c r="K267" s="189">
        <f t="shared" si="50"/>
        <v>1.9178726265779527E-2</v>
      </c>
    </row>
    <row r="268" spans="1:11" ht="35.25" hidden="1" customHeight="1" x14ac:dyDescent="0.2">
      <c r="A268" s="63" t="s">
        <v>499</v>
      </c>
      <c r="B268" s="124" t="s">
        <v>956</v>
      </c>
      <c r="C268" s="64" t="s">
        <v>500</v>
      </c>
      <c r="D268" s="125" t="s">
        <v>168</v>
      </c>
      <c r="E268" s="65">
        <v>7</v>
      </c>
      <c r="F268" s="65">
        <v>25.67</v>
      </c>
      <c r="G268" s="65">
        <f t="shared" si="48"/>
        <v>179.69</v>
      </c>
      <c r="H268" s="126">
        <f t="shared" si="43"/>
        <v>32.090000000000003</v>
      </c>
      <c r="I268" s="126">
        <f t="shared" si="49"/>
        <v>224.66</v>
      </c>
      <c r="J268" s="70">
        <f t="shared" si="51"/>
        <v>179.69</v>
      </c>
      <c r="K268" s="189">
        <f t="shared" si="50"/>
        <v>1.5353095221173136E-2</v>
      </c>
    </row>
    <row r="269" spans="1:11" ht="37.5" hidden="1" customHeight="1" x14ac:dyDescent="0.2">
      <c r="A269" s="63" t="s">
        <v>501</v>
      </c>
      <c r="B269" s="124" t="s">
        <v>957</v>
      </c>
      <c r="C269" s="64" t="s">
        <v>502</v>
      </c>
      <c r="D269" s="125" t="s">
        <v>168</v>
      </c>
      <c r="E269" s="65">
        <v>3</v>
      </c>
      <c r="F269" s="65">
        <v>38.049999999999997</v>
      </c>
      <c r="G269" s="65">
        <f t="shared" si="48"/>
        <v>114.15</v>
      </c>
      <c r="H269" s="126">
        <f t="shared" si="43"/>
        <v>47.57</v>
      </c>
      <c r="I269" s="126">
        <f t="shared" si="49"/>
        <v>142.72</v>
      </c>
      <c r="J269" s="70">
        <f t="shared" si="51"/>
        <v>114.15</v>
      </c>
      <c r="K269" s="189">
        <f t="shared" si="50"/>
        <v>9.753377325584572E-3</v>
      </c>
    </row>
    <row r="270" spans="1:11" ht="30.75" hidden="1" customHeight="1" x14ac:dyDescent="0.2">
      <c r="A270" s="63" t="s">
        <v>503</v>
      </c>
      <c r="B270" s="124" t="s">
        <v>958</v>
      </c>
      <c r="C270" s="64" t="s">
        <v>504</v>
      </c>
      <c r="D270" s="125" t="s">
        <v>168</v>
      </c>
      <c r="E270" s="65">
        <v>3</v>
      </c>
      <c r="F270" s="65">
        <v>33.86</v>
      </c>
      <c r="G270" s="65">
        <f t="shared" si="48"/>
        <v>101.58</v>
      </c>
      <c r="H270" s="126">
        <f t="shared" si="43"/>
        <v>42.33</v>
      </c>
      <c r="I270" s="126">
        <f t="shared" si="49"/>
        <v>127</v>
      </c>
      <c r="J270" s="70">
        <f t="shared" si="51"/>
        <v>101.58</v>
      </c>
      <c r="K270" s="189">
        <f t="shared" si="50"/>
        <v>8.6790843634335802E-3</v>
      </c>
    </row>
    <row r="271" spans="1:11" ht="37.5" hidden="1" customHeight="1" x14ac:dyDescent="0.2">
      <c r="A271" s="63" t="s">
        <v>505</v>
      </c>
      <c r="B271" s="124" t="s">
        <v>959</v>
      </c>
      <c r="C271" s="64" t="s">
        <v>506</v>
      </c>
      <c r="D271" s="125" t="s">
        <v>168</v>
      </c>
      <c r="E271" s="65">
        <v>7</v>
      </c>
      <c r="F271" s="65">
        <v>20.87</v>
      </c>
      <c r="G271" s="65">
        <f t="shared" si="48"/>
        <v>146.09</v>
      </c>
      <c r="H271" s="126">
        <f t="shared" si="43"/>
        <v>26.09</v>
      </c>
      <c r="I271" s="126">
        <f t="shared" si="49"/>
        <v>182.65</v>
      </c>
      <c r="J271" s="70">
        <f t="shared" si="51"/>
        <v>146.09</v>
      </c>
      <c r="K271" s="189">
        <f t="shared" si="50"/>
        <v>1.2482163456544437E-2</v>
      </c>
    </row>
    <row r="272" spans="1:11" ht="31.5" hidden="1" customHeight="1" x14ac:dyDescent="0.2">
      <c r="A272" s="63" t="s">
        <v>507</v>
      </c>
      <c r="B272" s="124" t="s">
        <v>960</v>
      </c>
      <c r="C272" s="64" t="s">
        <v>508</v>
      </c>
      <c r="D272" s="125" t="s">
        <v>168</v>
      </c>
      <c r="E272" s="65">
        <v>3</v>
      </c>
      <c r="F272" s="65">
        <v>39.24</v>
      </c>
      <c r="G272" s="65">
        <f t="shared" si="48"/>
        <v>117.72</v>
      </c>
      <c r="H272" s="126">
        <f t="shared" ref="H272:H335" si="52">TRUNC(F272*(1+I$8),2)</f>
        <v>49.06</v>
      </c>
      <c r="I272" s="126">
        <f t="shared" si="49"/>
        <v>147.18</v>
      </c>
      <c r="J272" s="70">
        <f t="shared" si="51"/>
        <v>117.72</v>
      </c>
      <c r="K272" s="189">
        <f t="shared" si="50"/>
        <v>1.005817036700909E-2</v>
      </c>
    </row>
    <row r="273" spans="1:11" ht="33" hidden="1" customHeight="1" x14ac:dyDescent="0.2">
      <c r="A273" s="63" t="s">
        <v>509</v>
      </c>
      <c r="B273" s="124" t="s">
        <v>961</v>
      </c>
      <c r="C273" s="64" t="s">
        <v>510</v>
      </c>
      <c r="D273" s="125" t="s">
        <v>168</v>
      </c>
      <c r="E273" s="65">
        <v>3</v>
      </c>
      <c r="F273" s="65">
        <v>35.130000000000003</v>
      </c>
      <c r="G273" s="65">
        <f t="shared" si="48"/>
        <v>105.39</v>
      </c>
      <c r="H273" s="126">
        <f t="shared" si="52"/>
        <v>43.92</v>
      </c>
      <c r="I273" s="126">
        <f t="shared" si="49"/>
        <v>131.76</v>
      </c>
      <c r="J273" s="70">
        <f t="shared" si="51"/>
        <v>105.39</v>
      </c>
      <c r="K273" s="189">
        <f t="shared" si="50"/>
        <v>9.004379178944949E-3</v>
      </c>
    </row>
    <row r="274" spans="1:11" ht="35.25" hidden="1" customHeight="1" x14ac:dyDescent="0.2">
      <c r="A274" s="63" t="s">
        <v>511</v>
      </c>
      <c r="B274" s="124" t="s">
        <v>962</v>
      </c>
      <c r="C274" s="64" t="s">
        <v>512</v>
      </c>
      <c r="D274" s="125" t="s">
        <v>168</v>
      </c>
      <c r="E274" s="65">
        <v>3</v>
      </c>
      <c r="F274" s="65">
        <v>21.88</v>
      </c>
      <c r="G274" s="65">
        <f t="shared" si="48"/>
        <v>65.64</v>
      </c>
      <c r="H274" s="126">
        <f t="shared" si="52"/>
        <v>27.35</v>
      </c>
      <c r="I274" s="126">
        <f t="shared" si="49"/>
        <v>82.06</v>
      </c>
      <c r="J274" s="70">
        <f t="shared" si="51"/>
        <v>65.64</v>
      </c>
      <c r="K274" s="189">
        <f t="shared" si="50"/>
        <v>5.6079186052233046E-3</v>
      </c>
    </row>
    <row r="275" spans="1:11" ht="37.5" hidden="1" customHeight="1" x14ac:dyDescent="0.2">
      <c r="A275" s="63" t="s">
        <v>513</v>
      </c>
      <c r="B275" s="124" t="s">
        <v>963</v>
      </c>
      <c r="C275" s="64" t="s">
        <v>514</v>
      </c>
      <c r="D275" s="125" t="s">
        <v>168</v>
      </c>
      <c r="E275" s="65">
        <v>3</v>
      </c>
      <c r="F275" s="65">
        <v>46.25</v>
      </c>
      <c r="G275" s="65">
        <f t="shared" si="48"/>
        <v>138.75</v>
      </c>
      <c r="H275" s="126">
        <f t="shared" si="52"/>
        <v>57.82</v>
      </c>
      <c r="I275" s="126">
        <f t="shared" si="49"/>
        <v>173.47</v>
      </c>
      <c r="J275" s="70">
        <f t="shared" si="51"/>
        <v>138.75</v>
      </c>
      <c r="K275" s="189">
        <f t="shared" si="50"/>
        <v>1.1854809169486797E-2</v>
      </c>
    </row>
    <row r="276" spans="1:11" ht="37.5" hidden="1" customHeight="1" x14ac:dyDescent="0.2">
      <c r="A276" s="63" t="s">
        <v>515</v>
      </c>
      <c r="B276" s="124" t="s">
        <v>964</v>
      </c>
      <c r="C276" s="64" t="s">
        <v>516</v>
      </c>
      <c r="D276" s="125" t="s">
        <v>168</v>
      </c>
      <c r="E276" s="65">
        <v>3</v>
      </c>
      <c r="F276" s="65">
        <v>23.93</v>
      </c>
      <c r="G276" s="65">
        <f t="shared" si="48"/>
        <v>71.790000000000006</v>
      </c>
      <c r="H276" s="126">
        <f t="shared" si="52"/>
        <v>29.91</v>
      </c>
      <c r="I276" s="126">
        <f t="shared" si="49"/>
        <v>89.75</v>
      </c>
      <c r="J276" s="70">
        <f t="shared" si="51"/>
        <v>71.790000000000006</v>
      </c>
      <c r="K276" s="189">
        <f t="shared" si="50"/>
        <v>6.1334474143162508E-3</v>
      </c>
    </row>
    <row r="277" spans="1:11" ht="28.5" hidden="1" customHeight="1" x14ac:dyDescent="0.2">
      <c r="A277" s="63" t="s">
        <v>517</v>
      </c>
      <c r="B277" s="124" t="s">
        <v>965</v>
      </c>
      <c r="C277" s="64" t="s">
        <v>518</v>
      </c>
      <c r="D277" s="125" t="s">
        <v>168</v>
      </c>
      <c r="E277" s="65">
        <v>3</v>
      </c>
      <c r="F277" s="65">
        <v>71.27</v>
      </c>
      <c r="G277" s="65">
        <f t="shared" si="48"/>
        <v>213.81</v>
      </c>
      <c r="H277" s="126">
        <f t="shared" si="52"/>
        <v>89.1</v>
      </c>
      <c r="I277" s="126">
        <f t="shared" si="49"/>
        <v>267.32</v>
      </c>
      <c r="J277" s="70">
        <f t="shared" si="51"/>
        <v>213.81</v>
      </c>
      <c r="K277" s="189">
        <f t="shared" si="50"/>
        <v>1.8268447496323344E-2</v>
      </c>
    </row>
    <row r="278" spans="1:11" ht="30.75" hidden="1" customHeight="1" x14ac:dyDescent="0.2">
      <c r="A278" s="63" t="s">
        <v>519</v>
      </c>
      <c r="B278" s="124" t="s">
        <v>966</v>
      </c>
      <c r="C278" s="64" t="s">
        <v>520</v>
      </c>
      <c r="D278" s="125" t="s">
        <v>168</v>
      </c>
      <c r="E278" s="65">
        <v>7</v>
      </c>
      <c r="F278" s="65">
        <v>31.28</v>
      </c>
      <c r="G278" s="65">
        <f t="shared" si="48"/>
        <v>218.96</v>
      </c>
      <c r="H278" s="126">
        <f t="shared" si="52"/>
        <v>39.1</v>
      </c>
      <c r="I278" s="126">
        <f t="shared" si="49"/>
        <v>273.76</v>
      </c>
      <c r="J278" s="70">
        <f t="shared" si="51"/>
        <v>218.96</v>
      </c>
      <c r="K278" s="189">
        <f t="shared" si="50"/>
        <v>1.8708552246721077E-2</v>
      </c>
    </row>
    <row r="279" spans="1:11" ht="37.5" hidden="1" customHeight="1" x14ac:dyDescent="0.2">
      <c r="A279" s="63" t="s">
        <v>521</v>
      </c>
      <c r="B279" s="124" t="s">
        <v>967</v>
      </c>
      <c r="C279" s="64" t="s">
        <v>522</v>
      </c>
      <c r="D279" s="125" t="s">
        <v>168</v>
      </c>
      <c r="E279" s="65">
        <v>3</v>
      </c>
      <c r="F279" s="65">
        <v>23.21</v>
      </c>
      <c r="G279" s="65">
        <f t="shared" si="48"/>
        <v>69.63</v>
      </c>
      <c r="H279" s="126">
        <f t="shared" si="52"/>
        <v>29.01</v>
      </c>
      <c r="I279" s="126">
        <f t="shared" si="49"/>
        <v>87.05</v>
      </c>
      <c r="J279" s="70">
        <f t="shared" si="51"/>
        <v>69.63</v>
      </c>
      <c r="K279" s="189">
        <f t="shared" si="50"/>
        <v>5.948931447534592E-3</v>
      </c>
    </row>
    <row r="280" spans="1:11" ht="38.25" hidden="1" customHeight="1" x14ac:dyDescent="0.2">
      <c r="A280" s="63" t="s">
        <v>523</v>
      </c>
      <c r="B280" s="124" t="s">
        <v>968</v>
      </c>
      <c r="C280" s="64" t="s">
        <v>524</v>
      </c>
      <c r="D280" s="125" t="s">
        <v>168</v>
      </c>
      <c r="E280" s="65">
        <v>5</v>
      </c>
      <c r="F280" s="65">
        <v>18.84</v>
      </c>
      <c r="G280" s="65">
        <f t="shared" si="48"/>
        <v>94.2</v>
      </c>
      <c r="H280" s="126">
        <f t="shared" si="52"/>
        <v>23.55</v>
      </c>
      <c r="I280" s="126">
        <f t="shared" si="49"/>
        <v>117.77</v>
      </c>
      <c r="J280" s="70">
        <f t="shared" si="51"/>
        <v>94.2</v>
      </c>
      <c r="K280" s="189">
        <f t="shared" si="50"/>
        <v>8.0483131140281321E-3</v>
      </c>
    </row>
    <row r="281" spans="1:11" ht="28.5" hidden="1" customHeight="1" x14ac:dyDescent="0.2">
      <c r="A281" s="63" t="s">
        <v>525</v>
      </c>
      <c r="B281" s="124" t="s">
        <v>969</v>
      </c>
      <c r="C281" s="64" t="s">
        <v>1144</v>
      </c>
      <c r="D281" s="125" t="s">
        <v>168</v>
      </c>
      <c r="E281" s="65">
        <v>5</v>
      </c>
      <c r="F281" s="65">
        <v>74.400000000000006</v>
      </c>
      <c r="G281" s="65">
        <f t="shared" si="48"/>
        <v>372</v>
      </c>
      <c r="H281" s="126">
        <f t="shared" si="52"/>
        <v>93.02</v>
      </c>
      <c r="I281" s="126">
        <f t="shared" si="49"/>
        <v>465.11</v>
      </c>
      <c r="J281" s="70">
        <f t="shared" si="51"/>
        <v>372</v>
      </c>
      <c r="K281" s="189">
        <f t="shared" si="50"/>
        <v>3.1785267151784195E-2</v>
      </c>
    </row>
    <row r="282" spans="1:11" ht="30.75" hidden="1" customHeight="1" x14ac:dyDescent="0.2">
      <c r="A282" s="63" t="s">
        <v>526</v>
      </c>
      <c r="B282" s="124" t="s">
        <v>970</v>
      </c>
      <c r="C282" s="64" t="s">
        <v>527</v>
      </c>
      <c r="D282" s="125" t="s">
        <v>168</v>
      </c>
      <c r="E282" s="65">
        <v>11</v>
      </c>
      <c r="F282" s="65">
        <v>97.76</v>
      </c>
      <c r="G282" s="65">
        <f t="shared" si="48"/>
        <v>1075.3599999999999</v>
      </c>
      <c r="H282" s="126">
        <f t="shared" si="52"/>
        <v>122.22</v>
      </c>
      <c r="I282" s="126">
        <f t="shared" si="49"/>
        <v>1344.52</v>
      </c>
      <c r="J282" s="70">
        <f t="shared" si="51"/>
        <v>1075.3599999999999</v>
      </c>
      <c r="K282" s="189">
        <f t="shared" si="50"/>
        <v>9.1883484317509589E-2</v>
      </c>
    </row>
    <row r="283" spans="1:11" ht="25.5" hidden="1" x14ac:dyDescent="0.2">
      <c r="A283" s="63" t="s">
        <v>528</v>
      </c>
      <c r="B283" s="124" t="s">
        <v>971</v>
      </c>
      <c r="C283" s="64" t="s">
        <v>529</v>
      </c>
      <c r="D283" s="125" t="s">
        <v>168</v>
      </c>
      <c r="E283" s="65">
        <v>7</v>
      </c>
      <c r="F283" s="65">
        <v>43.95</v>
      </c>
      <c r="G283" s="65">
        <f t="shared" si="48"/>
        <v>307.64999999999998</v>
      </c>
      <c r="H283" s="126">
        <f t="shared" si="52"/>
        <v>54.95</v>
      </c>
      <c r="I283" s="126">
        <f t="shared" si="49"/>
        <v>384.65</v>
      </c>
      <c r="J283" s="70">
        <f t="shared" si="51"/>
        <v>307.64999999999998</v>
      </c>
      <c r="K283" s="189">
        <f t="shared" si="50"/>
        <v>2.628669134169076E-2</v>
      </c>
    </row>
    <row r="284" spans="1:11" ht="42" hidden="1" customHeight="1" x14ac:dyDescent="0.2">
      <c r="A284" s="63" t="s">
        <v>530</v>
      </c>
      <c r="B284" s="124" t="s">
        <v>972</v>
      </c>
      <c r="C284" s="64" t="s">
        <v>531</v>
      </c>
      <c r="D284" s="125" t="s">
        <v>267</v>
      </c>
      <c r="E284" s="65">
        <v>6</v>
      </c>
      <c r="F284" s="65">
        <v>62.2</v>
      </c>
      <c r="G284" s="65">
        <f t="shared" si="48"/>
        <v>373.2</v>
      </c>
      <c r="H284" s="126">
        <f t="shared" si="52"/>
        <v>77.760000000000005</v>
      </c>
      <c r="I284" s="126">
        <f t="shared" si="49"/>
        <v>466.61</v>
      </c>
      <c r="J284" s="70">
        <f t="shared" si="51"/>
        <v>373.2</v>
      </c>
      <c r="K284" s="189">
        <f t="shared" si="50"/>
        <v>3.1887776022218449E-2</v>
      </c>
    </row>
    <row r="285" spans="1:11" ht="48.75" hidden="1" customHeight="1" x14ac:dyDescent="0.2">
      <c r="A285" s="63" t="s">
        <v>532</v>
      </c>
      <c r="B285" s="124" t="s">
        <v>973</v>
      </c>
      <c r="C285" s="64" t="s">
        <v>533</v>
      </c>
      <c r="D285" s="125" t="s">
        <v>267</v>
      </c>
      <c r="E285" s="65">
        <v>6</v>
      </c>
      <c r="F285" s="65">
        <v>60.18</v>
      </c>
      <c r="G285" s="65">
        <f t="shared" si="48"/>
        <v>361.08</v>
      </c>
      <c r="H285" s="126">
        <f t="shared" si="52"/>
        <v>75.239999999999995</v>
      </c>
      <c r="I285" s="126">
        <f t="shared" si="49"/>
        <v>451.45</v>
      </c>
      <c r="J285" s="70">
        <f t="shared" si="51"/>
        <v>361.08</v>
      </c>
      <c r="K285" s="189">
        <f t="shared" si="50"/>
        <v>3.0851753038362913E-2</v>
      </c>
    </row>
    <row r="286" spans="1:11" ht="45.75" hidden="1" customHeight="1" x14ac:dyDescent="0.2">
      <c r="A286" s="63" t="s">
        <v>534</v>
      </c>
      <c r="B286" s="124" t="s">
        <v>473</v>
      </c>
      <c r="C286" s="64" t="s">
        <v>474</v>
      </c>
      <c r="D286" s="125" t="s">
        <v>168</v>
      </c>
      <c r="E286" s="65">
        <v>2</v>
      </c>
      <c r="F286" s="65">
        <v>627.46</v>
      </c>
      <c r="G286" s="65">
        <f t="shared" si="48"/>
        <v>1254.92</v>
      </c>
      <c r="H286" s="126">
        <f t="shared" si="52"/>
        <v>784.51</v>
      </c>
      <c r="I286" s="126">
        <f t="shared" si="49"/>
        <v>1569.02</v>
      </c>
      <c r="J286" s="70">
        <f t="shared" si="51"/>
        <v>1254.92</v>
      </c>
      <c r="K286" s="189">
        <f t="shared" si="50"/>
        <v>0.10722564525916974</v>
      </c>
    </row>
    <row r="287" spans="1:11" ht="38.25" hidden="1" x14ac:dyDescent="0.2">
      <c r="A287" s="63" t="s">
        <v>535</v>
      </c>
      <c r="B287" s="124" t="s">
        <v>536</v>
      </c>
      <c r="C287" s="64" t="s">
        <v>537</v>
      </c>
      <c r="D287" s="125" t="s">
        <v>168</v>
      </c>
      <c r="E287" s="65">
        <v>2</v>
      </c>
      <c r="F287" s="65">
        <v>1041.1199999999999</v>
      </c>
      <c r="G287" s="65">
        <f t="shared" si="48"/>
        <v>2082.2399999999998</v>
      </c>
      <c r="H287" s="126">
        <f t="shared" si="52"/>
        <v>1301.71</v>
      </c>
      <c r="I287" s="126">
        <f t="shared" si="49"/>
        <v>2603.42</v>
      </c>
      <c r="J287" s="70">
        <f t="shared" si="51"/>
        <v>2082.2399999999998</v>
      </c>
      <c r="K287" s="189">
        <f t="shared" si="50"/>
        <v>0.17791576231063191</v>
      </c>
    </row>
    <row r="288" spans="1:11" ht="25.5" hidden="1" x14ac:dyDescent="0.2">
      <c r="A288" s="63" t="s">
        <v>538</v>
      </c>
      <c r="B288" s="124" t="s">
        <v>945</v>
      </c>
      <c r="C288" s="64" t="s">
        <v>476</v>
      </c>
      <c r="D288" s="125" t="s">
        <v>9</v>
      </c>
      <c r="E288" s="65">
        <v>10.1</v>
      </c>
      <c r="F288" s="65">
        <v>68.790000000000006</v>
      </c>
      <c r="G288" s="65">
        <f t="shared" si="48"/>
        <v>694.77</v>
      </c>
      <c r="H288" s="126">
        <f t="shared" si="52"/>
        <v>86</v>
      </c>
      <c r="I288" s="126">
        <f t="shared" si="49"/>
        <v>868.67</v>
      </c>
      <c r="J288" s="70">
        <f t="shared" si="51"/>
        <v>694.77</v>
      </c>
      <c r="K288" s="189">
        <f t="shared" si="50"/>
        <v>5.9364253653416126E-2</v>
      </c>
    </row>
    <row r="289" spans="1:12" hidden="1" x14ac:dyDescent="0.2">
      <c r="A289" s="63" t="s">
        <v>539</v>
      </c>
      <c r="B289" s="124" t="s">
        <v>946</v>
      </c>
      <c r="C289" s="64" t="s">
        <v>478</v>
      </c>
      <c r="D289" s="125" t="s">
        <v>9</v>
      </c>
      <c r="E289" s="65">
        <v>2.8</v>
      </c>
      <c r="F289" s="65">
        <v>41.71</v>
      </c>
      <c r="G289" s="65">
        <f t="shared" si="48"/>
        <v>116.78</v>
      </c>
      <c r="H289" s="126">
        <f t="shared" si="52"/>
        <v>52.15</v>
      </c>
      <c r="I289" s="126">
        <f t="shared" si="49"/>
        <v>146.01</v>
      </c>
      <c r="J289" s="70">
        <f t="shared" si="51"/>
        <v>116.78</v>
      </c>
      <c r="K289" s="189">
        <f t="shared" si="50"/>
        <v>9.9782134480703704E-3</v>
      </c>
    </row>
    <row r="290" spans="1:12" x14ac:dyDescent="0.2">
      <c r="A290" s="127" t="s">
        <v>540</v>
      </c>
      <c r="B290" s="128"/>
      <c r="C290" s="66" t="s">
        <v>1049</v>
      </c>
      <c r="D290" s="66"/>
      <c r="E290" s="141"/>
      <c r="F290" s="143">
        <f>SUM(F291:F337)</f>
        <v>8423.18</v>
      </c>
      <c r="G290" s="143">
        <f>SUM(G291:G337)</f>
        <v>147159.98000000004</v>
      </c>
      <c r="H290" s="129">
        <f>SUM(H291:H337)</f>
        <v>10531.27</v>
      </c>
      <c r="I290" s="129">
        <f>SUM(I291:I337)</f>
        <v>183993.90000000002</v>
      </c>
      <c r="J290" s="75">
        <f>SUM(J291:J337)</f>
        <v>147159.98000000004</v>
      </c>
      <c r="K290" s="189">
        <f>I290/$I$407</f>
        <v>0.1087496709696221</v>
      </c>
      <c r="L290" s="1"/>
    </row>
    <row r="291" spans="1:12" ht="27.75" hidden="1" customHeight="1" x14ac:dyDescent="0.2">
      <c r="A291" s="63" t="s">
        <v>541</v>
      </c>
      <c r="B291" s="124" t="s">
        <v>542</v>
      </c>
      <c r="C291" s="64" t="s">
        <v>543</v>
      </c>
      <c r="D291" s="125" t="s">
        <v>168</v>
      </c>
      <c r="E291" s="65">
        <v>2</v>
      </c>
      <c r="F291" s="65">
        <v>2769.11</v>
      </c>
      <c r="G291" s="65">
        <f t="shared" si="48"/>
        <v>5538.22</v>
      </c>
      <c r="H291" s="126">
        <f t="shared" si="52"/>
        <v>3462.21</v>
      </c>
      <c r="I291" s="126">
        <f t="shared" si="49"/>
        <v>6924.43</v>
      </c>
      <c r="J291" s="70">
        <f>TRUNC(F291 * E291, 2)</f>
        <v>5538.22</v>
      </c>
      <c r="K291" s="189">
        <f t="shared" ref="K291:K337" si="53">I291/$I$290</f>
        <v>3.7634019388686255E-2</v>
      </c>
    </row>
    <row r="292" spans="1:12" ht="29.25" hidden="1" customHeight="1" x14ac:dyDescent="0.2">
      <c r="A292" s="63" t="s">
        <v>544</v>
      </c>
      <c r="B292" s="124" t="s">
        <v>974</v>
      </c>
      <c r="C292" s="64" t="s">
        <v>545</v>
      </c>
      <c r="D292" s="125" t="s">
        <v>168</v>
      </c>
      <c r="E292" s="65">
        <v>2</v>
      </c>
      <c r="F292" s="65">
        <v>1188.6400000000001</v>
      </c>
      <c r="G292" s="65">
        <f t="shared" si="48"/>
        <v>2377.2800000000002</v>
      </c>
      <c r="H292" s="126">
        <f t="shared" si="52"/>
        <v>1486.15</v>
      </c>
      <c r="I292" s="126">
        <f t="shared" si="49"/>
        <v>2972.31</v>
      </c>
      <c r="J292" s="70">
        <f t="shared" ref="J292:J337" si="54">TRUNC(F292 * E292, 2)</f>
        <v>2377.2800000000002</v>
      </c>
      <c r="K292" s="189">
        <f t="shared" si="53"/>
        <v>1.6154394248939771E-2</v>
      </c>
    </row>
    <row r="293" spans="1:12" ht="31.5" hidden="1" customHeight="1" x14ac:dyDescent="0.2">
      <c r="A293" s="63" t="s">
        <v>546</v>
      </c>
      <c r="B293" s="124" t="s">
        <v>547</v>
      </c>
      <c r="C293" s="64" t="s">
        <v>548</v>
      </c>
      <c r="D293" s="125" t="s">
        <v>168</v>
      </c>
      <c r="E293" s="65">
        <v>1</v>
      </c>
      <c r="F293" s="65">
        <v>1012.58</v>
      </c>
      <c r="G293" s="65">
        <f t="shared" si="48"/>
        <v>1012.58</v>
      </c>
      <c r="H293" s="126">
        <f t="shared" si="52"/>
        <v>1266.02</v>
      </c>
      <c r="I293" s="126">
        <f t="shared" si="49"/>
        <v>1266.02</v>
      </c>
      <c r="J293" s="70">
        <f t="shared" si="54"/>
        <v>1012.58</v>
      </c>
      <c r="K293" s="189">
        <f t="shared" si="53"/>
        <v>6.8807715907973025E-3</v>
      </c>
    </row>
    <row r="294" spans="1:12" ht="25.5" hidden="1" x14ac:dyDescent="0.2">
      <c r="A294" s="63" t="s">
        <v>549</v>
      </c>
      <c r="B294" s="124" t="s">
        <v>975</v>
      </c>
      <c r="C294" s="64" t="s">
        <v>1140</v>
      </c>
      <c r="D294" s="125" t="s">
        <v>168</v>
      </c>
      <c r="E294" s="65">
        <v>48</v>
      </c>
      <c r="F294" s="65">
        <v>12.6</v>
      </c>
      <c r="G294" s="65">
        <f t="shared" si="48"/>
        <v>604.79999999999995</v>
      </c>
      <c r="H294" s="126">
        <f t="shared" si="52"/>
        <v>15.75</v>
      </c>
      <c r="I294" s="126">
        <f t="shared" si="49"/>
        <v>756.18</v>
      </c>
      <c r="J294" s="70">
        <f t="shared" si="54"/>
        <v>604.79999999999995</v>
      </c>
      <c r="K294" s="189">
        <f t="shared" si="53"/>
        <v>4.1098101621847242E-3</v>
      </c>
    </row>
    <row r="295" spans="1:12" hidden="1" x14ac:dyDescent="0.2">
      <c r="A295" s="63" t="s">
        <v>550</v>
      </c>
      <c r="B295" s="124" t="s">
        <v>976</v>
      </c>
      <c r="C295" s="64" t="s">
        <v>1139</v>
      </c>
      <c r="D295" s="125" t="s">
        <v>168</v>
      </c>
      <c r="E295" s="65">
        <v>18</v>
      </c>
      <c r="F295" s="65">
        <v>56.87</v>
      </c>
      <c r="G295" s="65">
        <f t="shared" si="48"/>
        <v>1023.66</v>
      </c>
      <c r="H295" s="126">
        <f t="shared" si="52"/>
        <v>71.099999999999994</v>
      </c>
      <c r="I295" s="126">
        <f t="shared" si="49"/>
        <v>1279.8800000000001</v>
      </c>
      <c r="J295" s="70">
        <f t="shared" si="54"/>
        <v>1023.66</v>
      </c>
      <c r="K295" s="189">
        <f t="shared" si="53"/>
        <v>6.9561001750601511E-3</v>
      </c>
    </row>
    <row r="296" spans="1:12" hidden="1" x14ac:dyDescent="0.2">
      <c r="A296" s="63" t="s">
        <v>551</v>
      </c>
      <c r="B296" s="124" t="s">
        <v>977</v>
      </c>
      <c r="C296" s="64" t="s">
        <v>1141</v>
      </c>
      <c r="D296" s="125" t="s">
        <v>168</v>
      </c>
      <c r="E296" s="65">
        <v>9</v>
      </c>
      <c r="F296" s="65">
        <v>71.959999999999994</v>
      </c>
      <c r="G296" s="65">
        <f t="shared" si="48"/>
        <v>647.64</v>
      </c>
      <c r="H296" s="126">
        <f t="shared" si="52"/>
        <v>89.97</v>
      </c>
      <c r="I296" s="126">
        <f t="shared" si="49"/>
        <v>809.74</v>
      </c>
      <c r="J296" s="70">
        <f t="shared" si="54"/>
        <v>647.64</v>
      </c>
      <c r="K296" s="189">
        <f t="shared" si="53"/>
        <v>4.4009067691918044E-3</v>
      </c>
    </row>
    <row r="297" spans="1:12" ht="25.5" hidden="1" x14ac:dyDescent="0.2">
      <c r="A297" s="63" t="s">
        <v>552</v>
      </c>
      <c r="B297" s="124" t="s">
        <v>978</v>
      </c>
      <c r="C297" s="64" t="s">
        <v>553</v>
      </c>
      <c r="D297" s="125" t="s">
        <v>168</v>
      </c>
      <c r="E297" s="65">
        <v>9</v>
      </c>
      <c r="F297" s="65">
        <v>146.16</v>
      </c>
      <c r="G297" s="65">
        <f t="shared" si="48"/>
        <v>1315.44</v>
      </c>
      <c r="H297" s="126">
        <f t="shared" si="52"/>
        <v>182.74</v>
      </c>
      <c r="I297" s="126">
        <f t="shared" si="49"/>
        <v>1644.69</v>
      </c>
      <c r="J297" s="70">
        <f t="shared" si="54"/>
        <v>1315.44</v>
      </c>
      <c r="K297" s="189">
        <f t="shared" si="53"/>
        <v>8.9388289503075907E-3</v>
      </c>
    </row>
    <row r="298" spans="1:12" ht="29.25" hidden="1" customHeight="1" x14ac:dyDescent="0.2">
      <c r="A298" s="63" t="s">
        <v>554</v>
      </c>
      <c r="B298" s="124" t="s">
        <v>979</v>
      </c>
      <c r="C298" s="64" t="s">
        <v>555</v>
      </c>
      <c r="D298" s="125" t="s">
        <v>168</v>
      </c>
      <c r="E298" s="65">
        <v>3</v>
      </c>
      <c r="F298" s="65">
        <v>398.36</v>
      </c>
      <c r="G298" s="65">
        <f t="shared" si="48"/>
        <v>1195.08</v>
      </c>
      <c r="H298" s="126">
        <f t="shared" si="52"/>
        <v>498.06</v>
      </c>
      <c r="I298" s="126">
        <f t="shared" si="49"/>
        <v>1494.2</v>
      </c>
      <c r="J298" s="70">
        <f t="shared" si="54"/>
        <v>1195.08</v>
      </c>
      <c r="K298" s="189">
        <f t="shared" si="53"/>
        <v>8.1209214001116328E-3</v>
      </c>
    </row>
    <row r="299" spans="1:12" ht="17.25" hidden="1" customHeight="1" x14ac:dyDescent="0.2">
      <c r="A299" s="63" t="s">
        <v>556</v>
      </c>
      <c r="B299" s="124" t="s">
        <v>557</v>
      </c>
      <c r="C299" s="64" t="s">
        <v>558</v>
      </c>
      <c r="D299" s="125" t="s">
        <v>168</v>
      </c>
      <c r="E299" s="65">
        <v>15</v>
      </c>
      <c r="F299" s="65">
        <v>157.34</v>
      </c>
      <c r="G299" s="65">
        <f t="shared" si="48"/>
        <v>2360.1</v>
      </c>
      <c r="H299" s="126">
        <f t="shared" si="52"/>
        <v>196.72</v>
      </c>
      <c r="I299" s="126">
        <f t="shared" si="49"/>
        <v>2950.83</v>
      </c>
      <c r="J299" s="70">
        <f t="shared" si="54"/>
        <v>2360.1</v>
      </c>
      <c r="K299" s="189">
        <f t="shared" si="53"/>
        <v>1.6037651248220725E-2</v>
      </c>
    </row>
    <row r="300" spans="1:12" ht="17.25" hidden="1" customHeight="1" x14ac:dyDescent="0.2">
      <c r="A300" s="63" t="s">
        <v>559</v>
      </c>
      <c r="B300" s="124" t="s">
        <v>560</v>
      </c>
      <c r="C300" s="64" t="s">
        <v>561</v>
      </c>
      <c r="D300" s="125" t="s">
        <v>168</v>
      </c>
      <c r="E300" s="65">
        <v>7</v>
      </c>
      <c r="F300" s="65">
        <v>171.07</v>
      </c>
      <c r="G300" s="65">
        <f t="shared" si="48"/>
        <v>1197.49</v>
      </c>
      <c r="H300" s="126">
        <f t="shared" si="52"/>
        <v>213.88</v>
      </c>
      <c r="I300" s="126">
        <f t="shared" si="49"/>
        <v>1497.22</v>
      </c>
      <c r="J300" s="70">
        <f t="shared" si="54"/>
        <v>1197.49</v>
      </c>
      <c r="K300" s="189">
        <f t="shared" si="53"/>
        <v>8.1373349877360054E-3</v>
      </c>
    </row>
    <row r="301" spans="1:12" ht="28.5" hidden="1" customHeight="1" x14ac:dyDescent="0.2">
      <c r="A301" s="63" t="s">
        <v>562</v>
      </c>
      <c r="B301" s="124" t="s">
        <v>980</v>
      </c>
      <c r="C301" s="64" t="s">
        <v>563</v>
      </c>
      <c r="D301" s="125" t="s">
        <v>267</v>
      </c>
      <c r="E301" s="65">
        <v>800</v>
      </c>
      <c r="F301" s="65">
        <v>4.38</v>
      </c>
      <c r="G301" s="65">
        <f t="shared" si="48"/>
        <v>3504</v>
      </c>
      <c r="H301" s="126">
        <f t="shared" si="52"/>
        <v>5.47</v>
      </c>
      <c r="I301" s="126">
        <f t="shared" si="49"/>
        <v>4381.05</v>
      </c>
      <c r="J301" s="70">
        <f t="shared" si="54"/>
        <v>3504</v>
      </c>
      <c r="K301" s="189">
        <f t="shared" si="53"/>
        <v>2.3810843729058406E-2</v>
      </c>
    </row>
    <row r="302" spans="1:12" ht="28.5" hidden="1" customHeight="1" x14ac:dyDescent="0.2">
      <c r="A302" s="63" t="s">
        <v>564</v>
      </c>
      <c r="B302" s="124" t="s">
        <v>981</v>
      </c>
      <c r="C302" s="64" t="s">
        <v>565</v>
      </c>
      <c r="D302" s="125" t="s">
        <v>267</v>
      </c>
      <c r="E302" s="65">
        <v>700</v>
      </c>
      <c r="F302" s="65">
        <v>6.45</v>
      </c>
      <c r="G302" s="65">
        <f t="shared" si="48"/>
        <v>4515</v>
      </c>
      <c r="H302" s="126">
        <f t="shared" si="52"/>
        <v>8.06</v>
      </c>
      <c r="I302" s="126">
        <f t="shared" si="49"/>
        <v>5645.1</v>
      </c>
      <c r="J302" s="70">
        <f t="shared" si="54"/>
        <v>4515</v>
      </c>
      <c r="K302" s="189">
        <f t="shared" si="53"/>
        <v>3.0680908443160342E-2</v>
      </c>
    </row>
    <row r="303" spans="1:12" ht="31.5" hidden="1" customHeight="1" x14ac:dyDescent="0.2">
      <c r="A303" s="63" t="s">
        <v>566</v>
      </c>
      <c r="B303" s="124" t="s">
        <v>982</v>
      </c>
      <c r="C303" s="64" t="s">
        <v>567</v>
      </c>
      <c r="D303" s="125" t="s">
        <v>267</v>
      </c>
      <c r="E303" s="65">
        <v>400</v>
      </c>
      <c r="F303" s="65">
        <v>9.1300000000000008</v>
      </c>
      <c r="G303" s="65">
        <f t="shared" si="48"/>
        <v>3652</v>
      </c>
      <c r="H303" s="126">
        <f t="shared" si="52"/>
        <v>11.41</v>
      </c>
      <c r="I303" s="126">
        <f t="shared" si="49"/>
        <v>4566.09</v>
      </c>
      <c r="J303" s="70">
        <f t="shared" si="54"/>
        <v>3652</v>
      </c>
      <c r="K303" s="189">
        <f t="shared" si="53"/>
        <v>2.4816529243632531E-2</v>
      </c>
    </row>
    <row r="304" spans="1:12" ht="28.5" hidden="1" customHeight="1" x14ac:dyDescent="0.2">
      <c r="A304" s="63" t="s">
        <v>568</v>
      </c>
      <c r="B304" s="124" t="s">
        <v>983</v>
      </c>
      <c r="C304" s="64" t="s">
        <v>569</v>
      </c>
      <c r="D304" s="125" t="s">
        <v>267</v>
      </c>
      <c r="E304" s="65">
        <v>100</v>
      </c>
      <c r="F304" s="65">
        <v>15.1</v>
      </c>
      <c r="G304" s="65">
        <f t="shared" ref="G304:G367" si="55">TRUNC(E304*F304,2)</f>
        <v>1510</v>
      </c>
      <c r="H304" s="126">
        <f t="shared" si="52"/>
        <v>18.87</v>
      </c>
      <c r="I304" s="126">
        <f t="shared" ref="I304:I367" si="56">TRUNC(G304*(1+I$8),2)</f>
        <v>1887.95</v>
      </c>
      <c r="J304" s="70">
        <f t="shared" si="54"/>
        <v>1510</v>
      </c>
      <c r="K304" s="189">
        <f t="shared" si="53"/>
        <v>1.0260937998487993E-2</v>
      </c>
    </row>
    <row r="305" spans="1:11" ht="17.25" hidden="1" customHeight="1" x14ac:dyDescent="0.2">
      <c r="A305" s="63" t="s">
        <v>570</v>
      </c>
      <c r="B305" s="124" t="s">
        <v>984</v>
      </c>
      <c r="C305" s="64" t="s">
        <v>571</v>
      </c>
      <c r="D305" s="125" t="s">
        <v>168</v>
      </c>
      <c r="E305" s="65">
        <v>15</v>
      </c>
      <c r="F305" s="65">
        <v>18.29</v>
      </c>
      <c r="G305" s="65">
        <f t="shared" si="55"/>
        <v>274.35000000000002</v>
      </c>
      <c r="H305" s="126">
        <f t="shared" si="52"/>
        <v>22.86</v>
      </c>
      <c r="I305" s="126">
        <f t="shared" si="56"/>
        <v>343.01</v>
      </c>
      <c r="J305" s="70">
        <f t="shared" si="54"/>
        <v>274.35000000000002</v>
      </c>
      <c r="K305" s="189">
        <f t="shared" si="53"/>
        <v>1.8642465864357456E-3</v>
      </c>
    </row>
    <row r="306" spans="1:11" ht="27.75" hidden="1" customHeight="1" x14ac:dyDescent="0.2">
      <c r="A306" s="63" t="s">
        <v>572</v>
      </c>
      <c r="B306" s="124" t="s">
        <v>985</v>
      </c>
      <c r="C306" s="64" t="s">
        <v>573</v>
      </c>
      <c r="D306" s="125" t="s">
        <v>267</v>
      </c>
      <c r="E306" s="65">
        <v>28</v>
      </c>
      <c r="F306" s="65">
        <v>8.84</v>
      </c>
      <c r="G306" s="65">
        <f t="shared" si="55"/>
        <v>247.52</v>
      </c>
      <c r="H306" s="126">
        <f t="shared" si="52"/>
        <v>11.05</v>
      </c>
      <c r="I306" s="126">
        <f t="shared" si="56"/>
        <v>309.47000000000003</v>
      </c>
      <c r="J306" s="70">
        <f t="shared" si="54"/>
        <v>247.52</v>
      </c>
      <c r="K306" s="189">
        <f t="shared" si="53"/>
        <v>1.6819579344750015E-3</v>
      </c>
    </row>
    <row r="307" spans="1:11" ht="28.5" hidden="1" customHeight="1" x14ac:dyDescent="0.2">
      <c r="A307" s="63" t="s">
        <v>574</v>
      </c>
      <c r="B307" s="124" t="s">
        <v>986</v>
      </c>
      <c r="C307" s="64" t="s">
        <v>575</v>
      </c>
      <c r="D307" s="125" t="s">
        <v>267</v>
      </c>
      <c r="E307" s="65">
        <v>28</v>
      </c>
      <c r="F307" s="65">
        <v>12.36</v>
      </c>
      <c r="G307" s="65">
        <f t="shared" si="55"/>
        <v>346.08</v>
      </c>
      <c r="H307" s="126">
        <f t="shared" si="52"/>
        <v>15.45</v>
      </c>
      <c r="I307" s="126">
        <f t="shared" si="56"/>
        <v>432.7</v>
      </c>
      <c r="J307" s="70">
        <f t="shared" si="54"/>
        <v>346.08</v>
      </c>
      <c r="K307" s="189">
        <f t="shared" si="53"/>
        <v>2.3517083990284458E-3</v>
      </c>
    </row>
    <row r="308" spans="1:11" ht="30" hidden="1" customHeight="1" x14ac:dyDescent="0.2">
      <c r="A308" s="63" t="s">
        <v>576</v>
      </c>
      <c r="B308" s="124" t="s">
        <v>987</v>
      </c>
      <c r="C308" s="64" t="s">
        <v>577</v>
      </c>
      <c r="D308" s="125" t="s">
        <v>267</v>
      </c>
      <c r="E308" s="65">
        <v>83.95</v>
      </c>
      <c r="F308" s="65">
        <v>16.010000000000002</v>
      </c>
      <c r="G308" s="65">
        <f t="shared" si="55"/>
        <v>1344.03</v>
      </c>
      <c r="H308" s="126">
        <f t="shared" si="52"/>
        <v>20.010000000000002</v>
      </c>
      <c r="I308" s="126">
        <f t="shared" si="56"/>
        <v>1680.44</v>
      </c>
      <c r="J308" s="70">
        <f t="shared" si="54"/>
        <v>1344.03</v>
      </c>
      <c r="K308" s="189">
        <f t="shared" si="53"/>
        <v>9.1331288700331904E-3</v>
      </c>
    </row>
    <row r="309" spans="1:11" ht="30" hidden="1" customHeight="1" x14ac:dyDescent="0.2">
      <c r="A309" s="63" t="s">
        <v>578</v>
      </c>
      <c r="B309" s="124" t="s">
        <v>988</v>
      </c>
      <c r="C309" s="64" t="s">
        <v>579</v>
      </c>
      <c r="D309" s="125" t="s">
        <v>168</v>
      </c>
      <c r="E309" s="65">
        <v>15</v>
      </c>
      <c r="F309" s="65">
        <v>6.16</v>
      </c>
      <c r="G309" s="65">
        <f t="shared" si="55"/>
        <v>92.4</v>
      </c>
      <c r="H309" s="126">
        <f t="shared" si="52"/>
        <v>7.7</v>
      </c>
      <c r="I309" s="126">
        <f t="shared" si="56"/>
        <v>115.52</v>
      </c>
      <c r="J309" s="70">
        <f t="shared" si="54"/>
        <v>92.4</v>
      </c>
      <c r="K309" s="189">
        <f t="shared" si="53"/>
        <v>6.2784690144618912E-4</v>
      </c>
    </row>
    <row r="310" spans="1:11" ht="28.5" hidden="1" customHeight="1" x14ac:dyDescent="0.2">
      <c r="A310" s="63" t="s">
        <v>580</v>
      </c>
      <c r="B310" s="124" t="s">
        <v>989</v>
      </c>
      <c r="C310" s="64" t="s">
        <v>581</v>
      </c>
      <c r="D310" s="125" t="s">
        <v>168</v>
      </c>
      <c r="E310" s="65">
        <v>15</v>
      </c>
      <c r="F310" s="65">
        <v>10.1</v>
      </c>
      <c r="G310" s="65">
        <f t="shared" si="55"/>
        <v>151.5</v>
      </c>
      <c r="H310" s="126">
        <f t="shared" si="52"/>
        <v>12.62</v>
      </c>
      <c r="I310" s="126">
        <f t="shared" si="56"/>
        <v>189.42</v>
      </c>
      <c r="J310" s="70">
        <f t="shared" si="54"/>
        <v>151.5</v>
      </c>
      <c r="K310" s="189">
        <f t="shared" si="53"/>
        <v>1.0294906515922538E-3</v>
      </c>
    </row>
    <row r="311" spans="1:11" ht="31.5" hidden="1" customHeight="1" x14ac:dyDescent="0.2">
      <c r="A311" s="63" t="s">
        <v>582</v>
      </c>
      <c r="B311" s="124" t="s">
        <v>990</v>
      </c>
      <c r="C311" s="64" t="s">
        <v>583</v>
      </c>
      <c r="D311" s="125" t="s">
        <v>168</v>
      </c>
      <c r="E311" s="65">
        <v>15</v>
      </c>
      <c r="F311" s="65">
        <v>7.73</v>
      </c>
      <c r="G311" s="65">
        <f t="shared" si="55"/>
        <v>115.95</v>
      </c>
      <c r="H311" s="126">
        <f t="shared" si="52"/>
        <v>9.66</v>
      </c>
      <c r="I311" s="126">
        <f t="shared" si="56"/>
        <v>144.97</v>
      </c>
      <c r="J311" s="70">
        <f t="shared" si="54"/>
        <v>115.95</v>
      </c>
      <c r="K311" s="189">
        <f t="shared" si="53"/>
        <v>7.8790655559776701E-4</v>
      </c>
    </row>
    <row r="312" spans="1:11" ht="27.75" hidden="1" customHeight="1" x14ac:dyDescent="0.2">
      <c r="A312" s="63" t="s">
        <v>584</v>
      </c>
      <c r="B312" s="124" t="s">
        <v>991</v>
      </c>
      <c r="C312" s="64" t="s">
        <v>585</v>
      </c>
      <c r="D312" s="125" t="s">
        <v>168</v>
      </c>
      <c r="E312" s="65">
        <v>15</v>
      </c>
      <c r="F312" s="65">
        <v>10.36</v>
      </c>
      <c r="G312" s="65">
        <f t="shared" si="55"/>
        <v>155.4</v>
      </c>
      <c r="H312" s="126">
        <f t="shared" si="52"/>
        <v>12.95</v>
      </c>
      <c r="I312" s="126">
        <f t="shared" si="56"/>
        <v>194.29</v>
      </c>
      <c r="J312" s="70">
        <f t="shared" si="54"/>
        <v>155.4</v>
      </c>
      <c r="K312" s="189">
        <f t="shared" si="53"/>
        <v>1.0559589203772515E-3</v>
      </c>
    </row>
    <row r="313" spans="1:11" ht="28.5" hidden="1" customHeight="1" x14ac:dyDescent="0.2">
      <c r="A313" s="63" t="s">
        <v>586</v>
      </c>
      <c r="B313" s="124" t="s">
        <v>992</v>
      </c>
      <c r="C313" s="64" t="s">
        <v>587</v>
      </c>
      <c r="D313" s="125" t="s">
        <v>168</v>
      </c>
      <c r="E313" s="65">
        <v>25</v>
      </c>
      <c r="F313" s="65">
        <v>16.25</v>
      </c>
      <c r="G313" s="65">
        <f t="shared" si="55"/>
        <v>406.25</v>
      </c>
      <c r="H313" s="126">
        <f t="shared" si="52"/>
        <v>20.309999999999999</v>
      </c>
      <c r="I313" s="126">
        <f t="shared" si="56"/>
        <v>507.93</v>
      </c>
      <c r="J313" s="70">
        <f t="shared" si="54"/>
        <v>406.25</v>
      </c>
      <c r="K313" s="189">
        <f t="shared" si="53"/>
        <v>2.7605806496845816E-3</v>
      </c>
    </row>
    <row r="314" spans="1:11" ht="27.75" hidden="1" customHeight="1" x14ac:dyDescent="0.2">
      <c r="A314" s="63" t="s">
        <v>588</v>
      </c>
      <c r="B314" s="124" t="s">
        <v>993</v>
      </c>
      <c r="C314" s="64" t="s">
        <v>589</v>
      </c>
      <c r="D314" s="125" t="s">
        <v>168</v>
      </c>
      <c r="E314" s="65">
        <v>13</v>
      </c>
      <c r="F314" s="65">
        <v>13.52</v>
      </c>
      <c r="G314" s="65">
        <f t="shared" si="55"/>
        <v>175.76</v>
      </c>
      <c r="H314" s="126">
        <f t="shared" si="52"/>
        <v>16.899999999999999</v>
      </c>
      <c r="I314" s="126">
        <f t="shared" si="56"/>
        <v>219.75</v>
      </c>
      <c r="J314" s="70">
        <f t="shared" si="54"/>
        <v>175.76</v>
      </c>
      <c r="K314" s="189">
        <f t="shared" si="53"/>
        <v>1.1943330729986155E-3</v>
      </c>
    </row>
    <row r="315" spans="1:11" ht="30" hidden="1" customHeight="1" x14ac:dyDescent="0.2">
      <c r="A315" s="63" t="s">
        <v>590</v>
      </c>
      <c r="B315" s="124" t="s">
        <v>994</v>
      </c>
      <c r="C315" s="64" t="s">
        <v>591</v>
      </c>
      <c r="D315" s="125" t="s">
        <v>168</v>
      </c>
      <c r="E315" s="65">
        <v>104</v>
      </c>
      <c r="F315" s="65">
        <v>42.04</v>
      </c>
      <c r="G315" s="65">
        <f t="shared" si="55"/>
        <v>4372.16</v>
      </c>
      <c r="H315" s="126">
        <f t="shared" si="52"/>
        <v>52.56</v>
      </c>
      <c r="I315" s="126">
        <f t="shared" si="56"/>
        <v>5466.51</v>
      </c>
      <c r="J315" s="70">
        <f t="shared" si="54"/>
        <v>4372.16</v>
      </c>
      <c r="K315" s="189">
        <f t="shared" si="53"/>
        <v>2.9710278438578666E-2</v>
      </c>
    </row>
    <row r="316" spans="1:11" ht="27.75" hidden="1" customHeight="1" x14ac:dyDescent="0.2">
      <c r="A316" s="63" t="s">
        <v>592</v>
      </c>
      <c r="B316" s="124" t="s">
        <v>995</v>
      </c>
      <c r="C316" s="64" t="s">
        <v>593</v>
      </c>
      <c r="D316" s="125" t="s">
        <v>168</v>
      </c>
      <c r="E316" s="65">
        <v>20</v>
      </c>
      <c r="F316" s="65">
        <v>51.78</v>
      </c>
      <c r="G316" s="65">
        <f t="shared" si="55"/>
        <v>1035.5999999999999</v>
      </c>
      <c r="H316" s="126">
        <f t="shared" si="52"/>
        <v>64.739999999999995</v>
      </c>
      <c r="I316" s="126">
        <f t="shared" si="56"/>
        <v>1294.81</v>
      </c>
      <c r="J316" s="70">
        <f t="shared" si="54"/>
        <v>1035.5999999999999</v>
      </c>
      <c r="K316" s="189">
        <f t="shared" si="53"/>
        <v>7.0372441695077921E-3</v>
      </c>
    </row>
    <row r="317" spans="1:11" ht="28.5" hidden="1" customHeight="1" x14ac:dyDescent="0.2">
      <c r="A317" s="63" t="s">
        <v>594</v>
      </c>
      <c r="B317" s="124" t="s">
        <v>996</v>
      </c>
      <c r="C317" s="64" t="s">
        <v>595</v>
      </c>
      <c r="D317" s="125" t="s">
        <v>168</v>
      </c>
      <c r="E317" s="65">
        <v>27</v>
      </c>
      <c r="F317" s="65">
        <v>28.63</v>
      </c>
      <c r="G317" s="65">
        <f t="shared" si="55"/>
        <v>773.01</v>
      </c>
      <c r="H317" s="126">
        <f t="shared" si="52"/>
        <v>35.79</v>
      </c>
      <c r="I317" s="126">
        <f t="shared" si="56"/>
        <v>966.49</v>
      </c>
      <c r="J317" s="70">
        <f t="shared" si="54"/>
        <v>773.01</v>
      </c>
      <c r="K317" s="189">
        <f t="shared" si="53"/>
        <v>5.2528371864502023E-3</v>
      </c>
    </row>
    <row r="318" spans="1:11" ht="27" hidden="1" customHeight="1" x14ac:dyDescent="0.2">
      <c r="A318" s="63" t="s">
        <v>596</v>
      </c>
      <c r="B318" s="124" t="s">
        <v>997</v>
      </c>
      <c r="C318" s="64" t="s">
        <v>597</v>
      </c>
      <c r="D318" s="125" t="s">
        <v>168</v>
      </c>
      <c r="E318" s="65">
        <v>42</v>
      </c>
      <c r="F318" s="65">
        <v>43.87</v>
      </c>
      <c r="G318" s="65">
        <f t="shared" si="55"/>
        <v>1842.54</v>
      </c>
      <c r="H318" s="126">
        <f t="shared" si="52"/>
        <v>54.85</v>
      </c>
      <c r="I318" s="126">
        <f t="shared" si="56"/>
        <v>2303.7199999999998</v>
      </c>
      <c r="J318" s="70">
        <f t="shared" si="54"/>
        <v>1842.54</v>
      </c>
      <c r="K318" s="189">
        <f t="shared" si="53"/>
        <v>1.2520632477489741E-2</v>
      </c>
    </row>
    <row r="319" spans="1:11" ht="25.5" hidden="1" x14ac:dyDescent="0.2">
      <c r="A319" s="63" t="s">
        <v>598</v>
      </c>
      <c r="B319" s="124" t="s">
        <v>599</v>
      </c>
      <c r="C319" s="64" t="s">
        <v>600</v>
      </c>
      <c r="D319" s="125" t="s">
        <v>168</v>
      </c>
      <c r="E319" s="65">
        <v>17</v>
      </c>
      <c r="F319" s="65">
        <v>106.07</v>
      </c>
      <c r="G319" s="65">
        <f t="shared" si="55"/>
        <v>1803.19</v>
      </c>
      <c r="H319" s="126">
        <f t="shared" si="52"/>
        <v>132.61000000000001</v>
      </c>
      <c r="I319" s="126">
        <f t="shared" si="56"/>
        <v>2254.52</v>
      </c>
      <c r="J319" s="70">
        <f t="shared" si="54"/>
        <v>1803.19</v>
      </c>
      <c r="K319" s="189">
        <f t="shared" si="53"/>
        <v>1.2253232308245E-2</v>
      </c>
    </row>
    <row r="320" spans="1:11" ht="24" hidden="1" x14ac:dyDescent="0.2">
      <c r="A320" s="63" t="s">
        <v>601</v>
      </c>
      <c r="B320" s="124" t="s">
        <v>602</v>
      </c>
      <c r="C320" s="64" t="s">
        <v>603</v>
      </c>
      <c r="D320" s="125" t="s">
        <v>168</v>
      </c>
      <c r="E320" s="65">
        <v>726</v>
      </c>
      <c r="F320" s="65">
        <v>22.54</v>
      </c>
      <c r="G320" s="65">
        <f t="shared" si="55"/>
        <v>16364.04</v>
      </c>
      <c r="H320" s="126">
        <f t="shared" si="52"/>
        <v>28.18</v>
      </c>
      <c r="I320" s="126">
        <f t="shared" si="56"/>
        <v>20459.95</v>
      </c>
      <c r="J320" s="70">
        <f t="shared" si="54"/>
        <v>16364.04</v>
      </c>
      <c r="K320" s="189">
        <f t="shared" si="53"/>
        <v>0.11119906692558829</v>
      </c>
    </row>
    <row r="321" spans="1:11" s="215" customFormat="1" ht="24" hidden="1" x14ac:dyDescent="0.2">
      <c r="A321" s="208" t="s">
        <v>604</v>
      </c>
      <c r="B321" s="209" t="s">
        <v>605</v>
      </c>
      <c r="C321" s="210" t="s">
        <v>606</v>
      </c>
      <c r="D321" s="211" t="s">
        <v>168</v>
      </c>
      <c r="E321" s="212">
        <v>1232</v>
      </c>
      <c r="F321" s="212">
        <v>30.96</v>
      </c>
      <c r="G321" s="212">
        <f t="shared" si="55"/>
        <v>38142.720000000001</v>
      </c>
      <c r="H321" s="213">
        <f t="shared" si="52"/>
        <v>38.700000000000003</v>
      </c>
      <c r="I321" s="213">
        <f t="shared" si="56"/>
        <v>47689.84</v>
      </c>
      <c r="J321" s="214">
        <f t="shared" si="54"/>
        <v>38142.720000000001</v>
      </c>
      <c r="K321" s="207">
        <f t="shared" si="53"/>
        <v>0.25919250583850872</v>
      </c>
    </row>
    <row r="322" spans="1:11" ht="24" hidden="1" x14ac:dyDescent="0.2">
      <c r="A322" s="63" t="s">
        <v>607</v>
      </c>
      <c r="B322" s="124" t="s">
        <v>608</v>
      </c>
      <c r="C322" s="64" t="s">
        <v>609</v>
      </c>
      <c r="D322" s="125" t="s">
        <v>168</v>
      </c>
      <c r="E322" s="65">
        <v>93</v>
      </c>
      <c r="F322" s="65">
        <v>89.03</v>
      </c>
      <c r="G322" s="65">
        <f t="shared" si="55"/>
        <v>8279.7900000000009</v>
      </c>
      <c r="H322" s="126">
        <f t="shared" si="52"/>
        <v>111.31</v>
      </c>
      <c r="I322" s="126">
        <f t="shared" si="56"/>
        <v>10352.219999999999</v>
      </c>
      <c r="J322" s="70">
        <f t="shared" si="54"/>
        <v>8279.7900000000009</v>
      </c>
      <c r="K322" s="189">
        <f t="shared" si="53"/>
        <v>5.62639304889999E-2</v>
      </c>
    </row>
    <row r="323" spans="1:11" ht="24" hidden="1" x14ac:dyDescent="0.2">
      <c r="A323" s="63" t="s">
        <v>610</v>
      </c>
      <c r="B323" s="124" t="s">
        <v>611</v>
      </c>
      <c r="C323" s="64" t="s">
        <v>612</v>
      </c>
      <c r="D323" s="125" t="s">
        <v>168</v>
      </c>
      <c r="E323" s="65">
        <v>10</v>
      </c>
      <c r="F323" s="65">
        <v>142.61000000000001</v>
      </c>
      <c r="G323" s="65">
        <f t="shared" si="55"/>
        <v>1426.1</v>
      </c>
      <c r="H323" s="126">
        <f t="shared" si="52"/>
        <v>178.3</v>
      </c>
      <c r="I323" s="126">
        <f t="shared" si="56"/>
        <v>1783.05</v>
      </c>
      <c r="J323" s="70">
        <f t="shared" si="54"/>
        <v>1426.1</v>
      </c>
      <c r="K323" s="189">
        <f t="shared" si="53"/>
        <v>9.6908104018665828E-3</v>
      </c>
    </row>
    <row r="324" spans="1:11" ht="25.5" hidden="1" x14ac:dyDescent="0.2">
      <c r="A324" s="63" t="s">
        <v>613</v>
      </c>
      <c r="B324" s="124" t="s">
        <v>998</v>
      </c>
      <c r="C324" s="64" t="s">
        <v>614</v>
      </c>
      <c r="D324" s="125" t="s">
        <v>168</v>
      </c>
      <c r="E324" s="65">
        <v>22</v>
      </c>
      <c r="F324" s="65">
        <v>22.71</v>
      </c>
      <c r="G324" s="65">
        <f t="shared" si="55"/>
        <v>499.62</v>
      </c>
      <c r="H324" s="126">
        <f t="shared" si="52"/>
        <v>28.39</v>
      </c>
      <c r="I324" s="126">
        <f t="shared" si="56"/>
        <v>624.66999999999996</v>
      </c>
      <c r="J324" s="70">
        <f t="shared" si="54"/>
        <v>499.62</v>
      </c>
      <c r="K324" s="189">
        <f t="shared" si="53"/>
        <v>3.3950582057339939E-3</v>
      </c>
    </row>
    <row r="325" spans="1:11" ht="25.5" hidden="1" x14ac:dyDescent="0.2">
      <c r="A325" s="63" t="s">
        <v>615</v>
      </c>
      <c r="B325" s="124" t="s">
        <v>999</v>
      </c>
      <c r="C325" s="64" t="s">
        <v>616</v>
      </c>
      <c r="D325" s="125" t="s">
        <v>168</v>
      </c>
      <c r="E325" s="65">
        <v>20</v>
      </c>
      <c r="F325" s="65">
        <v>26.94</v>
      </c>
      <c r="G325" s="65">
        <f t="shared" si="55"/>
        <v>538.79999999999995</v>
      </c>
      <c r="H325" s="126">
        <f t="shared" si="52"/>
        <v>33.68</v>
      </c>
      <c r="I325" s="126">
        <f t="shared" si="56"/>
        <v>673.66</v>
      </c>
      <c r="J325" s="70">
        <f t="shared" si="54"/>
        <v>538.79999999999995</v>
      </c>
      <c r="K325" s="189">
        <f t="shared" si="53"/>
        <v>3.6613170327929345E-3</v>
      </c>
    </row>
    <row r="326" spans="1:11" ht="25.5" hidden="1" x14ac:dyDescent="0.2">
      <c r="A326" s="63" t="s">
        <v>617</v>
      </c>
      <c r="B326" s="124" t="s">
        <v>1000</v>
      </c>
      <c r="C326" s="64" t="s">
        <v>1142</v>
      </c>
      <c r="D326" s="125" t="s">
        <v>168</v>
      </c>
      <c r="E326" s="65">
        <v>77</v>
      </c>
      <c r="F326" s="65">
        <v>58.54</v>
      </c>
      <c r="G326" s="65">
        <f t="shared" si="55"/>
        <v>4507.58</v>
      </c>
      <c r="H326" s="126">
        <f t="shared" si="52"/>
        <v>73.19</v>
      </c>
      <c r="I326" s="126">
        <f t="shared" si="56"/>
        <v>5635.82</v>
      </c>
      <c r="J326" s="70">
        <f t="shared" si="54"/>
        <v>4507.58</v>
      </c>
      <c r="K326" s="189">
        <f t="shared" si="53"/>
        <v>3.0630471988473525E-2</v>
      </c>
    </row>
    <row r="327" spans="1:11" ht="25.5" hidden="1" x14ac:dyDescent="0.2">
      <c r="A327" s="63" t="s">
        <v>618</v>
      </c>
      <c r="B327" s="124" t="s">
        <v>1001</v>
      </c>
      <c r="C327" s="64" t="s">
        <v>1143</v>
      </c>
      <c r="D327" s="125" t="s">
        <v>168</v>
      </c>
      <c r="E327" s="65">
        <v>154</v>
      </c>
      <c r="F327" s="65">
        <v>58.27</v>
      </c>
      <c r="G327" s="65">
        <f t="shared" si="55"/>
        <v>8973.58</v>
      </c>
      <c r="H327" s="126">
        <f t="shared" si="52"/>
        <v>72.849999999999994</v>
      </c>
      <c r="I327" s="126">
        <f t="shared" si="56"/>
        <v>11219.66</v>
      </c>
      <c r="J327" s="70">
        <f t="shared" si="54"/>
        <v>8973.58</v>
      </c>
      <c r="K327" s="189">
        <f t="shared" si="53"/>
        <v>6.0978434611147429E-2</v>
      </c>
    </row>
    <row r="328" spans="1:11" ht="31.5" hidden="1" customHeight="1" x14ac:dyDescent="0.2">
      <c r="A328" s="63" t="s">
        <v>619</v>
      </c>
      <c r="B328" s="124" t="s">
        <v>1002</v>
      </c>
      <c r="C328" s="64" t="s">
        <v>620</v>
      </c>
      <c r="D328" s="125" t="s">
        <v>168</v>
      </c>
      <c r="E328" s="65">
        <v>9</v>
      </c>
      <c r="F328" s="65">
        <v>157.47999999999999</v>
      </c>
      <c r="G328" s="65">
        <f t="shared" si="55"/>
        <v>1417.32</v>
      </c>
      <c r="H328" s="126">
        <f t="shared" si="52"/>
        <v>196.89</v>
      </c>
      <c r="I328" s="126">
        <f t="shared" si="56"/>
        <v>1772.07</v>
      </c>
      <c r="J328" s="70">
        <f t="shared" si="54"/>
        <v>1417.32</v>
      </c>
      <c r="K328" s="189">
        <f t="shared" si="53"/>
        <v>9.6311345104375719E-3</v>
      </c>
    </row>
    <row r="329" spans="1:11" ht="28.5" hidden="1" customHeight="1" x14ac:dyDescent="0.2">
      <c r="A329" s="63" t="s">
        <v>621</v>
      </c>
      <c r="B329" s="124" t="s">
        <v>1003</v>
      </c>
      <c r="C329" s="64" t="s">
        <v>622</v>
      </c>
      <c r="D329" s="125" t="s">
        <v>168</v>
      </c>
      <c r="E329" s="65">
        <v>13</v>
      </c>
      <c r="F329" s="65">
        <v>115.55</v>
      </c>
      <c r="G329" s="65">
        <f t="shared" si="55"/>
        <v>1502.15</v>
      </c>
      <c r="H329" s="126">
        <f t="shared" si="52"/>
        <v>144.47</v>
      </c>
      <c r="I329" s="126">
        <f t="shared" si="56"/>
        <v>1878.13</v>
      </c>
      <c r="J329" s="70">
        <f t="shared" si="54"/>
        <v>1502.15</v>
      </c>
      <c r="K329" s="189">
        <f t="shared" si="53"/>
        <v>1.0207566663894834E-2</v>
      </c>
    </row>
    <row r="330" spans="1:11" ht="27.75" hidden="1" customHeight="1" x14ac:dyDescent="0.2">
      <c r="A330" s="63" t="s">
        <v>623</v>
      </c>
      <c r="B330" s="124" t="s">
        <v>624</v>
      </c>
      <c r="C330" s="64" t="s">
        <v>625</v>
      </c>
      <c r="D330" s="125" t="s">
        <v>267</v>
      </c>
      <c r="E330" s="65">
        <v>69.95</v>
      </c>
      <c r="F330" s="65">
        <v>44.76</v>
      </c>
      <c r="G330" s="65">
        <f t="shared" si="55"/>
        <v>3130.96</v>
      </c>
      <c r="H330" s="126">
        <f t="shared" si="52"/>
        <v>55.96</v>
      </c>
      <c r="I330" s="126">
        <f t="shared" si="56"/>
        <v>3914.63</v>
      </c>
      <c r="J330" s="70">
        <f t="shared" si="54"/>
        <v>3130.96</v>
      </c>
      <c r="K330" s="189">
        <f t="shared" si="53"/>
        <v>2.12758683847671E-2</v>
      </c>
    </row>
    <row r="331" spans="1:11" ht="40.5" hidden="1" customHeight="1" x14ac:dyDescent="0.2">
      <c r="A331" s="63" t="s">
        <v>626</v>
      </c>
      <c r="B331" s="124" t="s">
        <v>627</v>
      </c>
      <c r="C331" s="64" t="s">
        <v>628</v>
      </c>
      <c r="D331" s="125" t="s">
        <v>267</v>
      </c>
      <c r="E331" s="65">
        <v>42</v>
      </c>
      <c r="F331" s="65">
        <v>88.06</v>
      </c>
      <c r="G331" s="65">
        <f t="shared" si="55"/>
        <v>3698.52</v>
      </c>
      <c r="H331" s="126">
        <f t="shared" si="52"/>
        <v>110.1</v>
      </c>
      <c r="I331" s="126">
        <f t="shared" si="56"/>
        <v>4624.25</v>
      </c>
      <c r="J331" s="70">
        <f t="shared" si="54"/>
        <v>3698.52</v>
      </c>
      <c r="K331" s="189">
        <f t="shared" si="53"/>
        <v>2.5132626679471436E-2</v>
      </c>
    </row>
    <row r="332" spans="1:11" ht="36" hidden="1" x14ac:dyDescent="0.2">
      <c r="A332" s="63" t="s">
        <v>629</v>
      </c>
      <c r="B332" s="124" t="s">
        <v>630</v>
      </c>
      <c r="C332" s="64" t="s">
        <v>631</v>
      </c>
      <c r="D332" s="125" t="s">
        <v>267</v>
      </c>
      <c r="E332" s="65">
        <v>83.95</v>
      </c>
      <c r="F332" s="65">
        <v>82.18</v>
      </c>
      <c r="G332" s="65">
        <f t="shared" si="55"/>
        <v>6899.01</v>
      </c>
      <c r="H332" s="126">
        <f t="shared" si="52"/>
        <v>102.74</v>
      </c>
      <c r="I332" s="126">
        <f t="shared" si="56"/>
        <v>8625.83</v>
      </c>
      <c r="J332" s="70">
        <f t="shared" si="54"/>
        <v>6899.01</v>
      </c>
      <c r="K332" s="189">
        <f t="shared" si="53"/>
        <v>4.6881065078787934E-2</v>
      </c>
    </row>
    <row r="333" spans="1:11" ht="24" hidden="1" x14ac:dyDescent="0.2">
      <c r="A333" s="63" t="s">
        <v>632</v>
      </c>
      <c r="B333" s="124" t="s">
        <v>633</v>
      </c>
      <c r="C333" s="64" t="s">
        <v>634</v>
      </c>
      <c r="D333" s="125" t="s">
        <v>168</v>
      </c>
      <c r="E333" s="65">
        <v>17</v>
      </c>
      <c r="F333" s="65">
        <v>210.25</v>
      </c>
      <c r="G333" s="65">
        <f t="shared" si="55"/>
        <v>3574.25</v>
      </c>
      <c r="H333" s="126">
        <f t="shared" si="52"/>
        <v>262.87</v>
      </c>
      <c r="I333" s="126">
        <f t="shared" si="56"/>
        <v>4468.88</v>
      </c>
      <c r="J333" s="70">
        <f t="shared" si="54"/>
        <v>3574.25</v>
      </c>
      <c r="K333" s="189">
        <f t="shared" si="53"/>
        <v>2.4288196510862586E-2</v>
      </c>
    </row>
    <row r="334" spans="1:11" ht="41.25" hidden="1" customHeight="1" x14ac:dyDescent="0.2">
      <c r="A334" s="63" t="s">
        <v>635</v>
      </c>
      <c r="B334" s="124" t="s">
        <v>473</v>
      </c>
      <c r="C334" s="64" t="s">
        <v>474</v>
      </c>
      <c r="D334" s="125" t="s">
        <v>168</v>
      </c>
      <c r="E334" s="65">
        <v>3</v>
      </c>
      <c r="F334" s="65">
        <v>627.46</v>
      </c>
      <c r="G334" s="65">
        <f t="shared" si="55"/>
        <v>1882.38</v>
      </c>
      <c r="H334" s="126">
        <f t="shared" si="52"/>
        <v>784.51</v>
      </c>
      <c r="I334" s="126">
        <f t="shared" si="56"/>
        <v>2353.5300000000002</v>
      </c>
      <c r="J334" s="70">
        <f t="shared" si="54"/>
        <v>1882.38</v>
      </c>
      <c r="K334" s="189">
        <f t="shared" si="53"/>
        <v>1.2791347974036095E-2</v>
      </c>
    </row>
    <row r="335" spans="1:11" ht="27" hidden="1" customHeight="1" x14ac:dyDescent="0.2">
      <c r="A335" s="63" t="s">
        <v>636</v>
      </c>
      <c r="B335" s="124" t="s">
        <v>637</v>
      </c>
      <c r="C335" s="64" t="s">
        <v>638</v>
      </c>
      <c r="D335" s="125" t="s">
        <v>168</v>
      </c>
      <c r="E335" s="65">
        <v>14</v>
      </c>
      <c r="F335" s="65">
        <v>123.58</v>
      </c>
      <c r="G335" s="65">
        <f t="shared" si="55"/>
        <v>1730.12</v>
      </c>
      <c r="H335" s="126">
        <f t="shared" si="52"/>
        <v>154.51</v>
      </c>
      <c r="I335" s="126">
        <f t="shared" si="56"/>
        <v>2163.16</v>
      </c>
      <c r="J335" s="70">
        <f t="shared" si="54"/>
        <v>1730.12</v>
      </c>
      <c r="K335" s="189">
        <f t="shared" si="53"/>
        <v>1.1756694107793789E-2</v>
      </c>
    </row>
    <row r="336" spans="1:11" ht="18" hidden="1" customHeight="1" x14ac:dyDescent="0.2">
      <c r="A336" s="63" t="s">
        <v>639</v>
      </c>
      <c r="B336" s="124" t="s">
        <v>945</v>
      </c>
      <c r="C336" s="64" t="s">
        <v>476</v>
      </c>
      <c r="D336" s="125" t="s">
        <v>9</v>
      </c>
      <c r="E336" s="65">
        <v>11.2</v>
      </c>
      <c r="F336" s="65">
        <v>68.790000000000006</v>
      </c>
      <c r="G336" s="65">
        <f t="shared" si="55"/>
        <v>770.44</v>
      </c>
      <c r="H336" s="126">
        <f t="shared" ref="H336:H379" si="57">TRUNC(F336*(1+I$8),2)</f>
        <v>86</v>
      </c>
      <c r="I336" s="126">
        <f t="shared" si="56"/>
        <v>963.28</v>
      </c>
      <c r="J336" s="70">
        <f t="shared" si="54"/>
        <v>770.44</v>
      </c>
      <c r="K336" s="189">
        <f t="shared" si="53"/>
        <v>5.2353909558958195E-3</v>
      </c>
    </row>
    <row r="337" spans="1:11" ht="18" hidden="1" customHeight="1" x14ac:dyDescent="0.2">
      <c r="A337" s="63" t="s">
        <v>640</v>
      </c>
      <c r="B337" s="124" t="s">
        <v>946</v>
      </c>
      <c r="C337" s="64" t="s">
        <v>478</v>
      </c>
      <c r="D337" s="125" t="s">
        <v>9</v>
      </c>
      <c r="E337" s="65">
        <v>5.6</v>
      </c>
      <c r="F337" s="65">
        <v>41.71</v>
      </c>
      <c r="G337" s="65">
        <f t="shared" si="55"/>
        <v>233.57</v>
      </c>
      <c r="H337" s="126">
        <f t="shared" si="57"/>
        <v>52.15</v>
      </c>
      <c r="I337" s="126">
        <f t="shared" si="56"/>
        <v>292.02999999999997</v>
      </c>
      <c r="J337" s="70">
        <f t="shared" si="54"/>
        <v>233.57</v>
      </c>
      <c r="K337" s="189">
        <f t="shared" si="53"/>
        <v>1.5871721834256457E-3</v>
      </c>
    </row>
    <row r="338" spans="1:11" x14ac:dyDescent="0.2">
      <c r="A338" s="127" t="s">
        <v>641</v>
      </c>
      <c r="B338" s="128"/>
      <c r="C338" s="66" t="s">
        <v>1053</v>
      </c>
      <c r="D338" s="66"/>
      <c r="E338" s="141"/>
      <c r="F338" s="143">
        <f>F339+F340+F341</f>
        <v>737.96</v>
      </c>
      <c r="G338" s="143">
        <f>G339+G340+G341</f>
        <v>2037.0700000000002</v>
      </c>
      <c r="H338" s="129">
        <f>H339+H340+H341</f>
        <v>922.66</v>
      </c>
      <c r="I338" s="129">
        <f>SUM(I339:I341)</f>
        <v>2546.9300000000003</v>
      </c>
      <c r="J338" s="75">
        <f>SUM(J339:J341)</f>
        <v>2037.0700000000002</v>
      </c>
      <c r="K338" s="189">
        <f>I338/$I$407</f>
        <v>1.5053640337133983E-3</v>
      </c>
    </row>
    <row r="339" spans="1:11" ht="43.5" hidden="1" customHeight="1" x14ac:dyDescent="0.2">
      <c r="A339" s="63" t="s">
        <v>1104</v>
      </c>
      <c r="B339" s="124" t="s">
        <v>473</v>
      </c>
      <c r="C339" s="64" t="s">
        <v>474</v>
      </c>
      <c r="D339" s="125" t="s">
        <v>168</v>
      </c>
      <c r="E339" s="65">
        <v>3</v>
      </c>
      <c r="F339" s="65">
        <v>627.46</v>
      </c>
      <c r="G339" s="65">
        <f t="shared" si="55"/>
        <v>1882.38</v>
      </c>
      <c r="H339" s="126">
        <f t="shared" si="57"/>
        <v>784.51</v>
      </c>
      <c r="I339" s="126">
        <f t="shared" si="56"/>
        <v>2353.5300000000002</v>
      </c>
      <c r="J339" s="70">
        <f>TRUNC(F339 * E339, 2)</f>
        <v>1882.38</v>
      </c>
      <c r="K339" s="189">
        <f>I339/$I$407</f>
        <v>1.3910548834343676E-3</v>
      </c>
    </row>
    <row r="340" spans="1:11" ht="25.5" hidden="1" x14ac:dyDescent="0.2">
      <c r="A340" s="63" t="s">
        <v>775</v>
      </c>
      <c r="B340" s="124" t="s">
        <v>1004</v>
      </c>
      <c r="C340" s="64" t="s">
        <v>476</v>
      </c>
      <c r="D340" s="125" t="s">
        <v>9</v>
      </c>
      <c r="E340" s="65">
        <v>1.4</v>
      </c>
      <c r="F340" s="65">
        <v>68.790000000000006</v>
      </c>
      <c r="G340" s="65">
        <f t="shared" si="55"/>
        <v>96.3</v>
      </c>
      <c r="H340" s="126">
        <f t="shared" si="57"/>
        <v>86</v>
      </c>
      <c r="I340" s="126">
        <f t="shared" si="56"/>
        <v>120.4</v>
      </c>
      <c r="J340" s="70">
        <f>TRUNC(F340 * E340, 2)</f>
        <v>96.3</v>
      </c>
      <c r="K340" s="189">
        <f>I340/$I$338</f>
        <v>4.7272598775781036E-2</v>
      </c>
    </row>
    <row r="341" spans="1:11" hidden="1" x14ac:dyDescent="0.2">
      <c r="A341" s="63" t="s">
        <v>1105</v>
      </c>
      <c r="B341" s="124" t="s">
        <v>946</v>
      </c>
      <c r="C341" s="64" t="s">
        <v>478</v>
      </c>
      <c r="D341" s="125" t="s">
        <v>9</v>
      </c>
      <c r="E341" s="65">
        <v>1.4</v>
      </c>
      <c r="F341" s="65">
        <v>41.71</v>
      </c>
      <c r="G341" s="65">
        <f t="shared" si="55"/>
        <v>58.39</v>
      </c>
      <c r="H341" s="126">
        <f t="shared" si="57"/>
        <v>52.15</v>
      </c>
      <c r="I341" s="126">
        <f t="shared" si="56"/>
        <v>73</v>
      </c>
      <c r="J341" s="70">
        <f>TRUNC(F341 * E341, 2)</f>
        <v>58.39</v>
      </c>
      <c r="K341" s="189">
        <f>I341/$I$338</f>
        <v>2.8661957729501791E-2</v>
      </c>
    </row>
    <row r="342" spans="1:11" x14ac:dyDescent="0.2">
      <c r="A342" s="127" t="s">
        <v>642</v>
      </c>
      <c r="B342" s="128"/>
      <c r="C342" s="66" t="s">
        <v>1054</v>
      </c>
      <c r="D342" s="66"/>
      <c r="E342" s="141"/>
      <c r="F342" s="143">
        <f>SUM(F343:F357)</f>
        <v>1448.68</v>
      </c>
      <c r="G342" s="143">
        <f>SUM(G343:G357)</f>
        <v>32032.989999999998</v>
      </c>
      <c r="H342" s="129">
        <f>SUM(H343:H357)</f>
        <v>1811.22</v>
      </c>
      <c r="I342" s="129">
        <f>SUM(I343:I357)</f>
        <v>40050.78</v>
      </c>
      <c r="J342" s="75">
        <f>SUM(J343:J357)</f>
        <v>32032.989999999998</v>
      </c>
      <c r="K342" s="189">
        <f>I342/$I$407</f>
        <v>2.3672030143807598E-2</v>
      </c>
    </row>
    <row r="343" spans="1:11" hidden="1" x14ac:dyDescent="0.2">
      <c r="A343" s="63" t="s">
        <v>643</v>
      </c>
      <c r="B343" s="124" t="s">
        <v>1005</v>
      </c>
      <c r="C343" s="64" t="s">
        <v>644</v>
      </c>
      <c r="D343" s="125" t="s">
        <v>168</v>
      </c>
      <c r="E343" s="65">
        <v>3</v>
      </c>
      <c r="F343" s="65">
        <v>142.12</v>
      </c>
      <c r="G343" s="65">
        <f t="shared" si="55"/>
        <v>426.36</v>
      </c>
      <c r="H343" s="126">
        <f t="shared" si="57"/>
        <v>177.69</v>
      </c>
      <c r="I343" s="126">
        <f t="shared" si="56"/>
        <v>533.07000000000005</v>
      </c>
      <c r="J343" s="70">
        <f>TRUNC(F343 * E343, 2)</f>
        <v>426.36</v>
      </c>
      <c r="K343" s="189">
        <f t="shared" ref="K343:K357" si="58">I343/$I$342</f>
        <v>1.3309853141436947E-2</v>
      </c>
    </row>
    <row r="344" spans="1:11" hidden="1" x14ac:dyDescent="0.2">
      <c r="A344" s="63" t="s">
        <v>645</v>
      </c>
      <c r="B344" s="124" t="s">
        <v>1006</v>
      </c>
      <c r="C344" s="64" t="s">
        <v>646</v>
      </c>
      <c r="D344" s="125" t="s">
        <v>168</v>
      </c>
      <c r="E344" s="65">
        <v>3</v>
      </c>
      <c r="F344" s="65">
        <v>169.77</v>
      </c>
      <c r="G344" s="65">
        <f t="shared" si="55"/>
        <v>509.31</v>
      </c>
      <c r="H344" s="126">
        <f t="shared" si="57"/>
        <v>212.26</v>
      </c>
      <c r="I344" s="126">
        <f t="shared" si="56"/>
        <v>636.79</v>
      </c>
      <c r="J344" s="70">
        <f t="shared" ref="J344:J357" si="59">TRUNC(F344 * E344, 2)</f>
        <v>509.31</v>
      </c>
      <c r="K344" s="189">
        <f t="shared" si="58"/>
        <v>1.5899565501595724E-2</v>
      </c>
    </row>
    <row r="345" spans="1:11" hidden="1" x14ac:dyDescent="0.2">
      <c r="A345" s="63" t="s">
        <v>647</v>
      </c>
      <c r="B345" s="124" t="s">
        <v>648</v>
      </c>
      <c r="C345" s="64" t="s">
        <v>649</v>
      </c>
      <c r="D345" s="125" t="s">
        <v>168</v>
      </c>
      <c r="E345" s="65">
        <v>16</v>
      </c>
      <c r="F345" s="65">
        <v>8.57</v>
      </c>
      <c r="G345" s="65">
        <f t="shared" si="55"/>
        <v>137.12</v>
      </c>
      <c r="H345" s="126">
        <f t="shared" si="57"/>
        <v>10.71</v>
      </c>
      <c r="I345" s="126">
        <f t="shared" si="56"/>
        <v>171.44</v>
      </c>
      <c r="J345" s="70">
        <f t="shared" si="59"/>
        <v>137.12</v>
      </c>
      <c r="K345" s="189">
        <f t="shared" si="58"/>
        <v>4.2805658216893651E-3</v>
      </c>
    </row>
    <row r="346" spans="1:11" ht="24" hidden="1" x14ac:dyDescent="0.2">
      <c r="A346" s="63" t="s">
        <v>650</v>
      </c>
      <c r="B346" s="124" t="s">
        <v>651</v>
      </c>
      <c r="C346" s="64" t="s">
        <v>652</v>
      </c>
      <c r="D346" s="125" t="s">
        <v>168</v>
      </c>
      <c r="E346" s="65">
        <v>47</v>
      </c>
      <c r="F346" s="65">
        <v>167.33</v>
      </c>
      <c r="G346" s="65">
        <f t="shared" si="55"/>
        <v>7864.51</v>
      </c>
      <c r="H346" s="126">
        <f t="shared" si="57"/>
        <v>209.21</v>
      </c>
      <c r="I346" s="126">
        <f t="shared" si="56"/>
        <v>9832.99</v>
      </c>
      <c r="J346" s="70">
        <f t="shared" si="59"/>
        <v>7864.51</v>
      </c>
      <c r="K346" s="189">
        <f t="shared" si="58"/>
        <v>0.24551307115616725</v>
      </c>
    </row>
    <row r="347" spans="1:11" ht="36" hidden="1" x14ac:dyDescent="0.2">
      <c r="A347" s="63" t="s">
        <v>653</v>
      </c>
      <c r="B347" s="124" t="s">
        <v>654</v>
      </c>
      <c r="C347" s="64" t="s">
        <v>655</v>
      </c>
      <c r="D347" s="125" t="s">
        <v>168</v>
      </c>
      <c r="E347" s="65">
        <v>84</v>
      </c>
      <c r="F347" s="65">
        <v>6.7</v>
      </c>
      <c r="G347" s="65">
        <f t="shared" si="55"/>
        <v>562.79999999999995</v>
      </c>
      <c r="H347" s="126">
        <f t="shared" si="57"/>
        <v>8.3699999999999992</v>
      </c>
      <c r="I347" s="126">
        <f t="shared" si="56"/>
        <v>703.66</v>
      </c>
      <c r="J347" s="70">
        <f t="shared" si="59"/>
        <v>562.79999999999995</v>
      </c>
      <c r="K347" s="189">
        <f t="shared" si="58"/>
        <v>1.7569195905797589E-2</v>
      </c>
    </row>
    <row r="348" spans="1:11" ht="24" hidden="1" x14ac:dyDescent="0.2">
      <c r="A348" s="63" t="s">
        <v>656</v>
      </c>
      <c r="B348" s="124" t="s">
        <v>657</v>
      </c>
      <c r="C348" s="64" t="s">
        <v>658</v>
      </c>
      <c r="D348" s="125" t="s">
        <v>168</v>
      </c>
      <c r="E348" s="65">
        <v>16</v>
      </c>
      <c r="F348" s="65">
        <v>19.72</v>
      </c>
      <c r="G348" s="65">
        <f t="shared" si="55"/>
        <v>315.52</v>
      </c>
      <c r="H348" s="126">
        <f t="shared" si="57"/>
        <v>24.65</v>
      </c>
      <c r="I348" s="126">
        <f t="shared" si="56"/>
        <v>394.49</v>
      </c>
      <c r="J348" s="70">
        <f t="shared" si="59"/>
        <v>315.52</v>
      </c>
      <c r="K348" s="189">
        <f t="shared" si="58"/>
        <v>9.8497457477732028E-3</v>
      </c>
    </row>
    <row r="349" spans="1:11" ht="24" hidden="1" x14ac:dyDescent="0.2">
      <c r="A349" s="63" t="s">
        <v>659</v>
      </c>
      <c r="B349" s="124" t="s">
        <v>660</v>
      </c>
      <c r="C349" s="64" t="s">
        <v>661</v>
      </c>
      <c r="D349" s="125" t="s">
        <v>168</v>
      </c>
      <c r="E349" s="65">
        <v>84</v>
      </c>
      <c r="F349" s="65">
        <v>7.32</v>
      </c>
      <c r="G349" s="65">
        <f t="shared" si="55"/>
        <v>614.88</v>
      </c>
      <c r="H349" s="126">
        <f t="shared" si="57"/>
        <v>9.15</v>
      </c>
      <c r="I349" s="126">
        <f t="shared" si="56"/>
        <v>768.78</v>
      </c>
      <c r="J349" s="70">
        <f t="shared" si="59"/>
        <v>614.88</v>
      </c>
      <c r="K349" s="189">
        <f t="shared" si="58"/>
        <v>1.919513178020503E-2</v>
      </c>
    </row>
    <row r="350" spans="1:11" ht="24" hidden="1" x14ac:dyDescent="0.2">
      <c r="A350" s="63" t="s">
        <v>662</v>
      </c>
      <c r="B350" s="124" t="s">
        <v>663</v>
      </c>
      <c r="C350" s="64" t="s">
        <v>664</v>
      </c>
      <c r="D350" s="125" t="s">
        <v>267</v>
      </c>
      <c r="E350" s="65">
        <v>30</v>
      </c>
      <c r="F350" s="65">
        <v>59.43</v>
      </c>
      <c r="G350" s="65">
        <f t="shared" si="55"/>
        <v>1782.9</v>
      </c>
      <c r="H350" s="126">
        <f t="shared" si="57"/>
        <v>74.3</v>
      </c>
      <c r="I350" s="126">
        <f t="shared" si="56"/>
        <v>2229.15</v>
      </c>
      <c r="J350" s="70">
        <f t="shared" si="59"/>
        <v>1782.9</v>
      </c>
      <c r="K350" s="189">
        <f t="shared" si="58"/>
        <v>5.5658092052139813E-2</v>
      </c>
    </row>
    <row r="351" spans="1:11" ht="28.5" hidden="1" customHeight="1" x14ac:dyDescent="0.2">
      <c r="A351" s="63" t="s">
        <v>665</v>
      </c>
      <c r="B351" s="124" t="s">
        <v>666</v>
      </c>
      <c r="C351" s="64" t="s">
        <v>667</v>
      </c>
      <c r="D351" s="125" t="s">
        <v>267</v>
      </c>
      <c r="E351" s="65">
        <v>132</v>
      </c>
      <c r="F351" s="65">
        <v>66.56</v>
      </c>
      <c r="G351" s="65">
        <f t="shared" si="55"/>
        <v>8785.92</v>
      </c>
      <c r="H351" s="126">
        <f t="shared" si="57"/>
        <v>83.21</v>
      </c>
      <c r="I351" s="126">
        <f t="shared" si="56"/>
        <v>10985.03</v>
      </c>
      <c r="J351" s="70">
        <f t="shared" si="59"/>
        <v>8785.92</v>
      </c>
      <c r="K351" s="189">
        <f t="shared" si="58"/>
        <v>0.27427755464437897</v>
      </c>
    </row>
    <row r="352" spans="1:11" ht="17.25" hidden="1" customHeight="1" x14ac:dyDescent="0.2">
      <c r="A352" s="63" t="s">
        <v>668</v>
      </c>
      <c r="B352" s="124" t="s">
        <v>1007</v>
      </c>
      <c r="C352" s="64" t="s">
        <v>669</v>
      </c>
      <c r="D352" s="125" t="s">
        <v>168</v>
      </c>
      <c r="E352" s="65">
        <v>14</v>
      </c>
      <c r="F352" s="65">
        <v>91.14</v>
      </c>
      <c r="G352" s="65">
        <f t="shared" si="55"/>
        <v>1275.96</v>
      </c>
      <c r="H352" s="126">
        <f t="shared" si="57"/>
        <v>113.95</v>
      </c>
      <c r="I352" s="126">
        <f t="shared" si="56"/>
        <v>1595.33</v>
      </c>
      <c r="J352" s="70">
        <f t="shared" si="59"/>
        <v>1275.96</v>
      </c>
      <c r="K352" s="189">
        <f t="shared" si="58"/>
        <v>3.9832682409680908E-2</v>
      </c>
    </row>
    <row r="353" spans="1:11" ht="17.25" hidden="1" customHeight="1" x14ac:dyDescent="0.2">
      <c r="A353" s="63" t="s">
        <v>670</v>
      </c>
      <c r="B353" s="124" t="s">
        <v>671</v>
      </c>
      <c r="C353" s="64" t="s">
        <v>672</v>
      </c>
      <c r="D353" s="125" t="s">
        <v>168</v>
      </c>
      <c r="E353" s="65">
        <v>14</v>
      </c>
      <c r="F353" s="65">
        <v>394.37</v>
      </c>
      <c r="G353" s="65">
        <f t="shared" si="55"/>
        <v>5521.18</v>
      </c>
      <c r="H353" s="126">
        <f t="shared" si="57"/>
        <v>493.08</v>
      </c>
      <c r="I353" s="126">
        <f t="shared" si="56"/>
        <v>6903.13</v>
      </c>
      <c r="J353" s="70">
        <f t="shared" si="59"/>
        <v>5521.18</v>
      </c>
      <c r="K353" s="189">
        <f t="shared" si="58"/>
        <v>0.1723594396913119</v>
      </c>
    </row>
    <row r="354" spans="1:11" ht="29.25" hidden="1" customHeight="1" x14ac:dyDescent="0.2">
      <c r="A354" s="63" t="s">
        <v>673</v>
      </c>
      <c r="B354" s="124" t="s">
        <v>1008</v>
      </c>
      <c r="C354" s="64" t="s">
        <v>674</v>
      </c>
      <c r="D354" s="125" t="s">
        <v>168</v>
      </c>
      <c r="E354" s="65">
        <v>14</v>
      </c>
      <c r="F354" s="65">
        <v>185.76</v>
      </c>
      <c r="G354" s="65">
        <f t="shared" si="55"/>
        <v>2600.64</v>
      </c>
      <c r="H354" s="126">
        <f t="shared" si="57"/>
        <v>232.25</v>
      </c>
      <c r="I354" s="126">
        <f t="shared" si="56"/>
        <v>3251.58</v>
      </c>
      <c r="J354" s="70">
        <f t="shared" si="59"/>
        <v>2600.64</v>
      </c>
      <c r="K354" s="189">
        <f t="shared" si="58"/>
        <v>8.1186433822262635E-2</v>
      </c>
    </row>
    <row r="355" spans="1:11" ht="18" hidden="1" customHeight="1" x14ac:dyDescent="0.2">
      <c r="A355" s="63" t="s">
        <v>675</v>
      </c>
      <c r="B355" s="124" t="s">
        <v>676</v>
      </c>
      <c r="C355" s="64" t="s">
        <v>677</v>
      </c>
      <c r="D355" s="125" t="s">
        <v>168</v>
      </c>
      <c r="E355" s="65">
        <v>6</v>
      </c>
      <c r="F355" s="65">
        <v>19.39</v>
      </c>
      <c r="G355" s="65">
        <f t="shared" si="55"/>
        <v>116.34</v>
      </c>
      <c r="H355" s="126">
        <f t="shared" si="57"/>
        <v>24.24</v>
      </c>
      <c r="I355" s="126">
        <f t="shared" si="56"/>
        <v>145.44999999999999</v>
      </c>
      <c r="J355" s="70">
        <f t="shared" si="59"/>
        <v>116.34</v>
      </c>
      <c r="K355" s="189">
        <f t="shared" si="58"/>
        <v>3.6316396334852901E-3</v>
      </c>
    </row>
    <row r="356" spans="1:11" ht="18" hidden="1" customHeight="1" x14ac:dyDescent="0.2">
      <c r="A356" s="63" t="s">
        <v>678</v>
      </c>
      <c r="B356" s="124" t="s">
        <v>945</v>
      </c>
      <c r="C356" s="64" t="s">
        <v>476</v>
      </c>
      <c r="D356" s="125" t="s">
        <v>9</v>
      </c>
      <c r="E356" s="65">
        <v>14.45</v>
      </c>
      <c r="F356" s="65">
        <v>68.790000000000006</v>
      </c>
      <c r="G356" s="65">
        <f t="shared" si="55"/>
        <v>994.01</v>
      </c>
      <c r="H356" s="126">
        <f t="shared" si="57"/>
        <v>86</v>
      </c>
      <c r="I356" s="126">
        <f t="shared" si="56"/>
        <v>1242.81</v>
      </c>
      <c r="J356" s="70">
        <f t="shared" si="59"/>
        <v>994.01</v>
      </c>
      <c r="K356" s="189">
        <f t="shared" si="58"/>
        <v>3.1030856327891741E-2</v>
      </c>
    </row>
    <row r="357" spans="1:11" ht="16.5" hidden="1" customHeight="1" x14ac:dyDescent="0.2">
      <c r="A357" s="63" t="s">
        <v>679</v>
      </c>
      <c r="B357" s="124" t="s">
        <v>946</v>
      </c>
      <c r="C357" s="64" t="s">
        <v>478</v>
      </c>
      <c r="D357" s="125" t="s">
        <v>9</v>
      </c>
      <c r="E357" s="65">
        <v>12.6</v>
      </c>
      <c r="F357" s="65">
        <v>41.71</v>
      </c>
      <c r="G357" s="65">
        <f t="shared" si="55"/>
        <v>525.54</v>
      </c>
      <c r="H357" s="126">
        <f t="shared" si="57"/>
        <v>52.15</v>
      </c>
      <c r="I357" s="126">
        <f t="shared" si="56"/>
        <v>657.08</v>
      </c>
      <c r="J357" s="70">
        <f t="shared" si="59"/>
        <v>525.54</v>
      </c>
      <c r="K357" s="189">
        <f t="shared" si="58"/>
        <v>1.6406172364183669E-2</v>
      </c>
    </row>
    <row r="358" spans="1:11" x14ac:dyDescent="0.2">
      <c r="A358" s="127" t="s">
        <v>680</v>
      </c>
      <c r="B358" s="128"/>
      <c r="C358" s="66" t="s">
        <v>1055</v>
      </c>
      <c r="D358" s="66"/>
      <c r="E358" s="141"/>
      <c r="F358" s="143">
        <f>SUM(F359:F372)</f>
        <v>3098.2700000000004</v>
      </c>
      <c r="G358" s="143">
        <f>SUM(G359:G372)</f>
        <v>16238.869999999999</v>
      </c>
      <c r="H358" s="129">
        <f>SUM(H359:H372)</f>
        <v>3873.71</v>
      </c>
      <c r="I358" s="129">
        <f>SUM(I359:I372)</f>
        <v>20303.400000000001</v>
      </c>
      <c r="J358" s="75">
        <f>SUM(J359:J372)</f>
        <v>16238.869999999999</v>
      </c>
      <c r="K358" s="189">
        <f>I358/$I$407</f>
        <v>1.200033299780387E-2</v>
      </c>
    </row>
    <row r="359" spans="1:11" ht="28.5" hidden="1" customHeight="1" x14ac:dyDescent="0.2">
      <c r="A359" s="63" t="s">
        <v>681</v>
      </c>
      <c r="B359" s="124" t="s">
        <v>1009</v>
      </c>
      <c r="C359" s="64" t="s">
        <v>682</v>
      </c>
      <c r="D359" s="125" t="s">
        <v>267</v>
      </c>
      <c r="E359" s="65">
        <v>30</v>
      </c>
      <c r="F359" s="65">
        <v>28.42</v>
      </c>
      <c r="G359" s="65">
        <f t="shared" si="55"/>
        <v>852.6</v>
      </c>
      <c r="H359" s="126">
        <f t="shared" si="57"/>
        <v>35.53</v>
      </c>
      <c r="I359" s="126">
        <f t="shared" si="56"/>
        <v>1066</v>
      </c>
      <c r="J359" s="70">
        <f>TRUNC(F359 * E359, 2)</f>
        <v>852.6</v>
      </c>
      <c r="K359" s="189">
        <f t="shared" ref="K359:K372" si="60">I359/$I$358</f>
        <v>5.2503521577666794E-2</v>
      </c>
    </row>
    <row r="360" spans="1:11" ht="25.5" hidden="1" x14ac:dyDescent="0.2">
      <c r="A360" s="63" t="s">
        <v>683</v>
      </c>
      <c r="B360" s="124" t="s">
        <v>1010</v>
      </c>
      <c r="C360" s="64" t="s">
        <v>684</v>
      </c>
      <c r="D360" s="125" t="s">
        <v>168</v>
      </c>
      <c r="E360" s="65">
        <v>8</v>
      </c>
      <c r="F360" s="65">
        <v>38.21</v>
      </c>
      <c r="G360" s="65">
        <f t="shared" si="55"/>
        <v>305.68</v>
      </c>
      <c r="H360" s="126">
        <f t="shared" si="57"/>
        <v>47.77</v>
      </c>
      <c r="I360" s="126">
        <f t="shared" si="56"/>
        <v>382.19</v>
      </c>
      <c r="J360" s="70">
        <f t="shared" ref="J360:J372" si="61">TRUNC(F360 * E360, 2)</f>
        <v>305.68</v>
      </c>
      <c r="K360" s="189">
        <f t="shared" si="60"/>
        <v>1.8823940817794062E-2</v>
      </c>
    </row>
    <row r="361" spans="1:11" ht="29.25" hidden="1" customHeight="1" x14ac:dyDescent="0.2">
      <c r="A361" s="63" t="s">
        <v>685</v>
      </c>
      <c r="B361" s="124" t="s">
        <v>1011</v>
      </c>
      <c r="C361" s="64" t="s">
        <v>686</v>
      </c>
      <c r="D361" s="125" t="s">
        <v>168</v>
      </c>
      <c r="E361" s="65">
        <v>17</v>
      </c>
      <c r="F361" s="65">
        <v>24.48</v>
      </c>
      <c r="G361" s="65">
        <f t="shared" si="55"/>
        <v>416.16</v>
      </c>
      <c r="H361" s="126">
        <f t="shared" si="57"/>
        <v>30.6</v>
      </c>
      <c r="I361" s="126">
        <f t="shared" si="56"/>
        <v>520.32000000000005</v>
      </c>
      <c r="J361" s="70">
        <f t="shared" si="61"/>
        <v>416.16</v>
      </c>
      <c r="K361" s="189">
        <f t="shared" si="60"/>
        <v>2.5627234847365468E-2</v>
      </c>
    </row>
    <row r="362" spans="1:11" ht="24" hidden="1" x14ac:dyDescent="0.2">
      <c r="A362" s="63" t="s">
        <v>687</v>
      </c>
      <c r="B362" s="124" t="s">
        <v>688</v>
      </c>
      <c r="C362" s="64" t="s">
        <v>689</v>
      </c>
      <c r="D362" s="125" t="s">
        <v>168</v>
      </c>
      <c r="E362" s="65">
        <v>17</v>
      </c>
      <c r="F362" s="65">
        <v>20.22</v>
      </c>
      <c r="G362" s="65">
        <f t="shared" si="55"/>
        <v>343.74</v>
      </c>
      <c r="H362" s="126">
        <f t="shared" si="57"/>
        <v>25.28</v>
      </c>
      <c r="I362" s="126">
        <f t="shared" si="56"/>
        <v>429.77</v>
      </c>
      <c r="J362" s="70">
        <f t="shared" si="61"/>
        <v>343.74</v>
      </c>
      <c r="K362" s="189">
        <f t="shared" si="60"/>
        <v>2.1167390683333825E-2</v>
      </c>
    </row>
    <row r="363" spans="1:11" ht="18" hidden="1" customHeight="1" x14ac:dyDescent="0.2">
      <c r="A363" s="63" t="s">
        <v>690</v>
      </c>
      <c r="B363" s="124" t="s">
        <v>691</v>
      </c>
      <c r="C363" s="64" t="s">
        <v>692</v>
      </c>
      <c r="D363" s="125" t="s">
        <v>168</v>
      </c>
      <c r="E363" s="65">
        <v>8</v>
      </c>
      <c r="F363" s="65">
        <v>14.31</v>
      </c>
      <c r="G363" s="65">
        <f t="shared" si="55"/>
        <v>114.48</v>
      </c>
      <c r="H363" s="126">
        <f t="shared" si="57"/>
        <v>17.89</v>
      </c>
      <c r="I363" s="126">
        <f t="shared" si="56"/>
        <v>143.13</v>
      </c>
      <c r="J363" s="70">
        <f t="shared" si="61"/>
        <v>114.48</v>
      </c>
      <c r="K363" s="189">
        <f t="shared" si="60"/>
        <v>7.049558202074529E-3</v>
      </c>
    </row>
    <row r="364" spans="1:11" ht="45" hidden="1" customHeight="1" x14ac:dyDescent="0.2">
      <c r="A364" s="63" t="s">
        <v>693</v>
      </c>
      <c r="B364" s="124" t="s">
        <v>473</v>
      </c>
      <c r="C364" s="64" t="s">
        <v>474</v>
      </c>
      <c r="D364" s="125" t="s">
        <v>168</v>
      </c>
      <c r="E364" s="65">
        <v>4</v>
      </c>
      <c r="F364" s="65">
        <v>627.46</v>
      </c>
      <c r="G364" s="65">
        <f t="shared" si="55"/>
        <v>2509.84</v>
      </c>
      <c r="H364" s="126">
        <f t="shared" si="57"/>
        <v>784.51</v>
      </c>
      <c r="I364" s="126">
        <f t="shared" si="56"/>
        <v>3138.05</v>
      </c>
      <c r="J364" s="70">
        <f t="shared" si="61"/>
        <v>2509.84</v>
      </c>
      <c r="K364" s="189">
        <f t="shared" si="60"/>
        <v>0.15455785730468788</v>
      </c>
    </row>
    <row r="365" spans="1:11" ht="16.5" hidden="1" customHeight="1" x14ac:dyDescent="0.2">
      <c r="A365" s="63" t="s">
        <v>694</v>
      </c>
      <c r="B365" s="124" t="s">
        <v>945</v>
      </c>
      <c r="C365" s="64" t="s">
        <v>476</v>
      </c>
      <c r="D365" s="125" t="s">
        <v>9</v>
      </c>
      <c r="E365" s="65">
        <v>5.6</v>
      </c>
      <c r="F365" s="65">
        <v>68.790000000000006</v>
      </c>
      <c r="G365" s="65">
        <f t="shared" si="55"/>
        <v>385.22</v>
      </c>
      <c r="H365" s="126">
        <f t="shared" si="57"/>
        <v>86</v>
      </c>
      <c r="I365" s="126">
        <f t="shared" si="56"/>
        <v>481.64</v>
      </c>
      <c r="J365" s="70">
        <f t="shared" si="61"/>
        <v>385.22</v>
      </c>
      <c r="K365" s="189">
        <f t="shared" si="60"/>
        <v>2.3722135208881268E-2</v>
      </c>
    </row>
    <row r="366" spans="1:11" ht="15.75" hidden="1" customHeight="1" x14ac:dyDescent="0.2">
      <c r="A366" s="63" t="s">
        <v>695</v>
      </c>
      <c r="B366" s="124" t="s">
        <v>946</v>
      </c>
      <c r="C366" s="64" t="s">
        <v>478</v>
      </c>
      <c r="D366" s="125" t="s">
        <v>9</v>
      </c>
      <c r="E366" s="65">
        <v>2.8</v>
      </c>
      <c r="F366" s="65">
        <v>41.71</v>
      </c>
      <c r="G366" s="65">
        <f t="shared" si="55"/>
        <v>116.78</v>
      </c>
      <c r="H366" s="126">
        <f t="shared" si="57"/>
        <v>52.15</v>
      </c>
      <c r="I366" s="126">
        <f t="shared" si="56"/>
        <v>146.01</v>
      </c>
      <c r="J366" s="70">
        <f t="shared" si="61"/>
        <v>116.78</v>
      </c>
      <c r="K366" s="189">
        <f t="shared" si="60"/>
        <v>7.1914063654363296E-3</v>
      </c>
    </row>
    <row r="367" spans="1:11" ht="41.25" hidden="1" customHeight="1" x14ac:dyDescent="0.2">
      <c r="A367" s="63" t="s">
        <v>696</v>
      </c>
      <c r="B367" s="124" t="s">
        <v>697</v>
      </c>
      <c r="C367" s="64" t="s">
        <v>1073</v>
      </c>
      <c r="D367" s="125" t="s">
        <v>267</v>
      </c>
      <c r="E367" s="65">
        <v>8.4</v>
      </c>
      <c r="F367" s="65">
        <v>76.959999999999994</v>
      </c>
      <c r="G367" s="65">
        <f t="shared" si="55"/>
        <v>646.46</v>
      </c>
      <c r="H367" s="126">
        <f t="shared" si="57"/>
        <v>96.22</v>
      </c>
      <c r="I367" s="126">
        <f t="shared" si="56"/>
        <v>808.26</v>
      </c>
      <c r="J367" s="70">
        <f t="shared" si="61"/>
        <v>646.46</v>
      </c>
      <c r="K367" s="189">
        <f t="shared" si="60"/>
        <v>3.980909601347557E-2</v>
      </c>
    </row>
    <row r="368" spans="1:11" ht="27.75" hidden="1" customHeight="1" x14ac:dyDescent="0.2">
      <c r="A368" s="63" t="s">
        <v>698</v>
      </c>
      <c r="B368" s="124" t="s">
        <v>1012</v>
      </c>
      <c r="C368" s="64" t="s">
        <v>699</v>
      </c>
      <c r="D368" s="125" t="s">
        <v>267</v>
      </c>
      <c r="E368" s="65">
        <v>8.4</v>
      </c>
      <c r="F368" s="65">
        <v>94.27</v>
      </c>
      <c r="G368" s="65">
        <f t="shared" ref="G368:G379" si="62">TRUNC(E368*F368,2)</f>
        <v>791.86</v>
      </c>
      <c r="H368" s="126">
        <f t="shared" si="57"/>
        <v>117.86</v>
      </c>
      <c r="I368" s="126">
        <f t="shared" ref="I368:I379" si="63">TRUNC(G368*(1+I$8),2)</f>
        <v>990.06</v>
      </c>
      <c r="J368" s="70">
        <f t="shared" si="61"/>
        <v>791.86</v>
      </c>
      <c r="K368" s="189">
        <f t="shared" si="60"/>
        <v>4.876326132568929E-2</v>
      </c>
    </row>
    <row r="369" spans="1:11" ht="19.5" hidden="1" customHeight="1" x14ac:dyDescent="0.2">
      <c r="A369" s="63" t="s">
        <v>700</v>
      </c>
      <c r="B369" s="124" t="s">
        <v>1013</v>
      </c>
      <c r="C369" s="64" t="s">
        <v>701</v>
      </c>
      <c r="D369" s="125" t="s">
        <v>9</v>
      </c>
      <c r="E369" s="65">
        <v>4.2</v>
      </c>
      <c r="F369" s="65">
        <v>24.18</v>
      </c>
      <c r="G369" s="65">
        <f t="shared" si="62"/>
        <v>101.55</v>
      </c>
      <c r="H369" s="126">
        <f t="shared" si="57"/>
        <v>30.23</v>
      </c>
      <c r="I369" s="126">
        <f t="shared" si="63"/>
        <v>126.96</v>
      </c>
      <c r="J369" s="70">
        <f t="shared" si="61"/>
        <v>101.55</v>
      </c>
      <c r="K369" s="189">
        <f t="shared" si="60"/>
        <v>6.2531398681994138E-3</v>
      </c>
    </row>
    <row r="370" spans="1:11" ht="42" hidden="1" customHeight="1" x14ac:dyDescent="0.2">
      <c r="A370" s="63" t="s">
        <v>702</v>
      </c>
      <c r="B370" s="124" t="s">
        <v>1014</v>
      </c>
      <c r="C370" s="64" t="s">
        <v>703</v>
      </c>
      <c r="D370" s="125" t="s">
        <v>9</v>
      </c>
      <c r="E370" s="65">
        <v>3.1</v>
      </c>
      <c r="F370" s="65">
        <v>57.91</v>
      </c>
      <c r="G370" s="65">
        <f t="shared" si="62"/>
        <v>179.52</v>
      </c>
      <c r="H370" s="126">
        <f t="shared" si="57"/>
        <v>72.400000000000006</v>
      </c>
      <c r="I370" s="126">
        <f t="shared" si="63"/>
        <v>224.45</v>
      </c>
      <c r="J370" s="70">
        <f t="shared" si="61"/>
        <v>179.52</v>
      </c>
      <c r="K370" s="189">
        <f t="shared" si="60"/>
        <v>1.1054798703665394E-2</v>
      </c>
    </row>
    <row r="371" spans="1:11" ht="32.25" hidden="1" customHeight="1" x14ac:dyDescent="0.2">
      <c r="A371" s="63" t="s">
        <v>704</v>
      </c>
      <c r="B371" s="124" t="s">
        <v>1015</v>
      </c>
      <c r="C371" s="64" t="s">
        <v>705</v>
      </c>
      <c r="D371" s="125" t="s">
        <v>9</v>
      </c>
      <c r="E371" s="65">
        <v>9.25</v>
      </c>
      <c r="F371" s="65">
        <v>564.95000000000005</v>
      </c>
      <c r="G371" s="65">
        <f t="shared" si="62"/>
        <v>5225.78</v>
      </c>
      <c r="H371" s="126">
        <f t="shared" si="57"/>
        <v>706.35</v>
      </c>
      <c r="I371" s="126">
        <f t="shared" si="63"/>
        <v>6533.79</v>
      </c>
      <c r="J371" s="70">
        <f t="shared" si="61"/>
        <v>5225.78</v>
      </c>
      <c r="K371" s="189">
        <f t="shared" si="60"/>
        <v>0.32180767753184192</v>
      </c>
    </row>
    <row r="372" spans="1:11" ht="41.25" hidden="1" customHeight="1" x14ac:dyDescent="0.2">
      <c r="A372" s="63" t="s">
        <v>706</v>
      </c>
      <c r="B372" s="124" t="s">
        <v>1016</v>
      </c>
      <c r="C372" s="64" t="s">
        <v>707</v>
      </c>
      <c r="D372" s="125" t="s">
        <v>168</v>
      </c>
      <c r="E372" s="65">
        <v>3</v>
      </c>
      <c r="F372" s="65">
        <v>1416.4</v>
      </c>
      <c r="G372" s="65">
        <f t="shared" si="62"/>
        <v>4249.2</v>
      </c>
      <c r="H372" s="126">
        <f t="shared" si="57"/>
        <v>1770.92</v>
      </c>
      <c r="I372" s="126">
        <f t="shared" si="63"/>
        <v>5312.77</v>
      </c>
      <c r="J372" s="70">
        <f t="shared" si="61"/>
        <v>4249.2</v>
      </c>
      <c r="K372" s="189">
        <f t="shared" si="60"/>
        <v>0.26166898154988821</v>
      </c>
    </row>
    <row r="373" spans="1:11" x14ac:dyDescent="0.2">
      <c r="A373" s="127" t="s">
        <v>708</v>
      </c>
      <c r="B373" s="128"/>
      <c r="C373" s="66" t="s">
        <v>1051</v>
      </c>
      <c r="D373" s="66"/>
      <c r="E373" s="141"/>
      <c r="F373" s="143">
        <f>F374+F375+F376+F377+F378+F379</f>
        <v>908</v>
      </c>
      <c r="G373" s="143">
        <f>G374+G375+G376+G377+G378+G379</f>
        <v>88117.860000000015</v>
      </c>
      <c r="H373" s="129">
        <f>SUM(H374:H379)</f>
        <v>1135.25</v>
      </c>
      <c r="I373" s="129">
        <f>SUM(I374:I379)</f>
        <v>110173.73</v>
      </c>
      <c r="J373" s="75">
        <f>SUM(J374:J379)</f>
        <v>88117.860000000015</v>
      </c>
      <c r="K373" s="189">
        <f>I373/$I$407</f>
        <v>6.511822884886935E-2</v>
      </c>
    </row>
    <row r="374" spans="1:11" ht="31.5" hidden="1" customHeight="1" x14ac:dyDescent="0.2">
      <c r="A374" s="63" t="s">
        <v>763</v>
      </c>
      <c r="B374" s="124" t="s">
        <v>1017</v>
      </c>
      <c r="C374" s="64" t="s">
        <v>709</v>
      </c>
      <c r="D374" s="125" t="s">
        <v>4</v>
      </c>
      <c r="E374" s="65">
        <v>184.7</v>
      </c>
      <c r="F374" s="65">
        <v>107.8</v>
      </c>
      <c r="G374" s="65">
        <f t="shared" si="62"/>
        <v>19910.66</v>
      </c>
      <c r="H374" s="126">
        <f t="shared" si="57"/>
        <v>134.78</v>
      </c>
      <c r="I374" s="126">
        <f t="shared" si="63"/>
        <v>24894.29</v>
      </c>
      <c r="J374" s="70">
        <f>TRUNC(F374 * E374, 2)</f>
        <v>19910.66</v>
      </c>
      <c r="K374" s="189">
        <f t="shared" ref="K374:K379" si="64">I374/$I$373</f>
        <v>0.22595486237962537</v>
      </c>
    </row>
    <row r="375" spans="1:11" ht="29.25" customHeight="1" x14ac:dyDescent="0.2">
      <c r="A375" s="63" t="s">
        <v>764</v>
      </c>
      <c r="B375" s="124" t="s">
        <v>1018</v>
      </c>
      <c r="C375" s="64" t="s">
        <v>710</v>
      </c>
      <c r="D375" s="125" t="s">
        <v>9</v>
      </c>
      <c r="E375" s="65">
        <v>94.55</v>
      </c>
      <c r="F375" s="65">
        <v>564.29999999999995</v>
      </c>
      <c r="G375" s="65">
        <f t="shared" si="62"/>
        <v>53354.559999999998</v>
      </c>
      <c r="H375" s="126">
        <f t="shared" si="57"/>
        <v>705.54</v>
      </c>
      <c r="I375" s="126">
        <f t="shared" si="63"/>
        <v>66709.2</v>
      </c>
      <c r="J375" s="216">
        <f t="shared" ref="J375:J379" si="65">TRUNC(F375 * E375, 2)</f>
        <v>53354.559999999998</v>
      </c>
      <c r="K375" s="217">
        <f t="shared" si="64"/>
        <v>0.60549098228770137</v>
      </c>
    </row>
    <row r="376" spans="1:11" ht="31.5" hidden="1" customHeight="1" x14ac:dyDescent="0.2">
      <c r="A376" s="63" t="s">
        <v>765</v>
      </c>
      <c r="B376" s="124" t="s">
        <v>711</v>
      </c>
      <c r="C376" s="64" t="s">
        <v>712</v>
      </c>
      <c r="D376" s="125" t="s">
        <v>4</v>
      </c>
      <c r="E376" s="65">
        <v>94.55</v>
      </c>
      <c r="F376" s="65">
        <v>31.43</v>
      </c>
      <c r="G376" s="65">
        <f t="shared" si="62"/>
        <v>2971.7</v>
      </c>
      <c r="H376" s="126">
        <f t="shared" si="57"/>
        <v>39.29</v>
      </c>
      <c r="I376" s="126">
        <f t="shared" si="63"/>
        <v>3715.51</v>
      </c>
      <c r="J376" s="70">
        <f t="shared" si="65"/>
        <v>2971.7</v>
      </c>
      <c r="K376" s="189">
        <f t="shared" si="64"/>
        <v>3.372410101754747E-2</v>
      </c>
    </row>
    <row r="377" spans="1:11" ht="27.75" hidden="1" customHeight="1" x14ac:dyDescent="0.2">
      <c r="A377" s="63" t="s">
        <v>766</v>
      </c>
      <c r="B377" s="124" t="s">
        <v>1019</v>
      </c>
      <c r="C377" s="64" t="s">
        <v>713</v>
      </c>
      <c r="D377" s="125" t="s">
        <v>267</v>
      </c>
      <c r="E377" s="65">
        <v>52.8</v>
      </c>
      <c r="F377" s="65">
        <v>105.84</v>
      </c>
      <c r="G377" s="65">
        <f t="shared" si="62"/>
        <v>5588.35</v>
      </c>
      <c r="H377" s="126">
        <f t="shared" si="57"/>
        <v>132.33000000000001</v>
      </c>
      <c r="I377" s="126">
        <f t="shared" si="63"/>
        <v>6987.11</v>
      </c>
      <c r="J377" s="70">
        <f t="shared" si="65"/>
        <v>5588.35</v>
      </c>
      <c r="K377" s="189">
        <f t="shared" si="64"/>
        <v>6.341902012394425E-2</v>
      </c>
    </row>
    <row r="378" spans="1:11" ht="30" hidden="1" customHeight="1" x14ac:dyDescent="0.2">
      <c r="A378" s="63" t="s">
        <v>1106</v>
      </c>
      <c r="B378" s="124" t="s">
        <v>714</v>
      </c>
      <c r="C378" s="64" t="s">
        <v>715</v>
      </c>
      <c r="D378" s="125" t="s">
        <v>4</v>
      </c>
      <c r="E378" s="65">
        <v>63.8</v>
      </c>
      <c r="F378" s="65">
        <v>11.95</v>
      </c>
      <c r="G378" s="65">
        <f t="shared" si="62"/>
        <v>762.41</v>
      </c>
      <c r="H378" s="126">
        <f t="shared" si="57"/>
        <v>14.94</v>
      </c>
      <c r="I378" s="126">
        <f t="shared" si="63"/>
        <v>953.24</v>
      </c>
      <c r="J378" s="70">
        <f t="shared" si="65"/>
        <v>762.41</v>
      </c>
      <c r="K378" s="189">
        <f t="shared" si="64"/>
        <v>8.6521532855427519E-3</v>
      </c>
    </row>
    <row r="379" spans="1:11" ht="25.5" hidden="1" x14ac:dyDescent="0.2">
      <c r="A379" s="63" t="s">
        <v>1107</v>
      </c>
      <c r="B379" s="124" t="s">
        <v>716</v>
      </c>
      <c r="C379" s="64" t="s">
        <v>717</v>
      </c>
      <c r="D379" s="125" t="s">
        <v>4</v>
      </c>
      <c r="E379" s="65">
        <v>63.8</v>
      </c>
      <c r="F379" s="65">
        <v>86.68</v>
      </c>
      <c r="G379" s="65">
        <f t="shared" si="62"/>
        <v>5530.18</v>
      </c>
      <c r="H379" s="126">
        <f t="shared" si="57"/>
        <v>108.37</v>
      </c>
      <c r="I379" s="126">
        <f t="shared" si="63"/>
        <v>6914.38</v>
      </c>
      <c r="J379" s="70">
        <f t="shared" si="65"/>
        <v>5530.18</v>
      </c>
      <c r="K379" s="189">
        <f t="shared" si="64"/>
        <v>6.2758880905638761E-2</v>
      </c>
    </row>
    <row r="380" spans="1:11" x14ac:dyDescent="0.2">
      <c r="A380" s="127" t="s">
        <v>718</v>
      </c>
      <c r="B380" s="128"/>
      <c r="C380" s="66" t="s">
        <v>1050</v>
      </c>
      <c r="D380" s="66"/>
      <c r="E380" s="141"/>
      <c r="F380" s="143">
        <f>F381</f>
        <v>1015.1899999999999</v>
      </c>
      <c r="G380" s="143">
        <f>G381</f>
        <v>38555.870000000003</v>
      </c>
      <c r="H380" s="129">
        <f>H381</f>
        <v>1269.27</v>
      </c>
      <c r="I380" s="129">
        <f>I381</f>
        <v>48206.39</v>
      </c>
      <c r="J380" s="75">
        <f>J381</f>
        <v>38555.870000000003</v>
      </c>
      <c r="K380" s="189">
        <f>I380/$I$407</f>
        <v>2.8492406819646088E-2</v>
      </c>
    </row>
    <row r="381" spans="1:11" x14ac:dyDescent="0.2">
      <c r="A381" s="127" t="s">
        <v>719</v>
      </c>
      <c r="B381" s="128"/>
      <c r="C381" s="66" t="s">
        <v>720</v>
      </c>
      <c r="D381" s="66"/>
      <c r="E381" s="141"/>
      <c r="F381" s="143">
        <f>SUM(F382:F385)</f>
        <v>1015.1899999999999</v>
      </c>
      <c r="G381" s="143">
        <f>SUM(G382:G385)</f>
        <v>38555.870000000003</v>
      </c>
      <c r="H381" s="129">
        <f>SUM(H382:H385)</f>
        <v>1269.27</v>
      </c>
      <c r="I381" s="129">
        <f>SUM(I382:I385)</f>
        <v>48206.39</v>
      </c>
      <c r="J381" s="75">
        <f>SUM(J382:J385)</f>
        <v>38555.870000000003</v>
      </c>
      <c r="K381" s="189">
        <f>I381/$I$407</f>
        <v>2.8492406819646088E-2</v>
      </c>
    </row>
    <row r="382" spans="1:11" ht="80.25" hidden="1" customHeight="1" x14ac:dyDescent="0.2">
      <c r="A382" s="63" t="s">
        <v>760</v>
      </c>
      <c r="B382" s="124" t="s">
        <v>377</v>
      </c>
      <c r="C382" s="64" t="s">
        <v>1074</v>
      </c>
      <c r="D382" s="125" t="s">
        <v>267</v>
      </c>
      <c r="E382" s="65">
        <v>7</v>
      </c>
      <c r="F382" s="65">
        <v>811.93</v>
      </c>
      <c r="G382" s="65">
        <f t="shared" ref="G382:G385" si="66">TRUNC(E382*F382,2)</f>
        <v>5683.51</v>
      </c>
      <c r="H382" s="126">
        <f t="shared" ref="H382:H402" si="67">TRUNC(F382*(1+I$8),2)</f>
        <v>1015.15</v>
      </c>
      <c r="I382" s="126">
        <f t="shared" ref="I382:I385" si="68">TRUNC(G382*(1+I$8),2)</f>
        <v>7106.09</v>
      </c>
      <c r="J382" s="70">
        <f>TRUNC(F382 * E382, 2)</f>
        <v>5683.51</v>
      </c>
      <c r="K382" s="189">
        <f>I382/$I$381</f>
        <v>0.14740971062135125</v>
      </c>
    </row>
    <row r="383" spans="1:11" ht="30.75" hidden="1" customHeight="1" x14ac:dyDescent="0.2">
      <c r="A383" s="63" t="s">
        <v>761</v>
      </c>
      <c r="B383" s="124" t="s">
        <v>1020</v>
      </c>
      <c r="C383" s="64" t="s">
        <v>721</v>
      </c>
      <c r="D383" s="125" t="s">
        <v>4</v>
      </c>
      <c r="E383" s="65">
        <v>172</v>
      </c>
      <c r="F383" s="65">
        <v>87.24</v>
      </c>
      <c r="G383" s="65">
        <f t="shared" si="66"/>
        <v>15005.28</v>
      </c>
      <c r="H383" s="126">
        <f t="shared" si="67"/>
        <v>109.07</v>
      </c>
      <c r="I383" s="126">
        <f t="shared" si="68"/>
        <v>18761.099999999999</v>
      </c>
      <c r="J383" s="70">
        <f>TRUNC(F383 * E383, 2)</f>
        <v>15005.28</v>
      </c>
      <c r="K383" s="189">
        <f>I383/$I$381</f>
        <v>0.38918284484691756</v>
      </c>
    </row>
    <row r="384" spans="1:11" ht="30.75" hidden="1" customHeight="1" x14ac:dyDescent="0.2">
      <c r="A384" s="63" t="s">
        <v>762</v>
      </c>
      <c r="B384" s="124" t="s">
        <v>1021</v>
      </c>
      <c r="C384" s="64" t="s">
        <v>722</v>
      </c>
      <c r="D384" s="125" t="s">
        <v>4</v>
      </c>
      <c r="E384" s="65">
        <v>154</v>
      </c>
      <c r="F384" s="65">
        <v>40.39</v>
      </c>
      <c r="G384" s="65">
        <f t="shared" si="66"/>
        <v>6220.06</v>
      </c>
      <c r="H384" s="126">
        <f t="shared" si="67"/>
        <v>50.49</v>
      </c>
      <c r="I384" s="126">
        <f t="shared" si="68"/>
        <v>7776.94</v>
      </c>
      <c r="J384" s="70">
        <f>TRUNC(F384 * E384, 2)</f>
        <v>6220.06</v>
      </c>
      <c r="K384" s="189">
        <f>I384/$I$381</f>
        <v>0.1613259155062223</v>
      </c>
    </row>
    <row r="385" spans="1:12" ht="29.25" hidden="1" customHeight="1" x14ac:dyDescent="0.2">
      <c r="A385" s="63" t="s">
        <v>1067</v>
      </c>
      <c r="B385" s="124" t="s">
        <v>1022</v>
      </c>
      <c r="C385" s="64" t="s">
        <v>723</v>
      </c>
      <c r="D385" s="125" t="s">
        <v>4</v>
      </c>
      <c r="E385" s="65">
        <v>154</v>
      </c>
      <c r="F385" s="65">
        <v>75.63</v>
      </c>
      <c r="G385" s="65">
        <f t="shared" si="66"/>
        <v>11647.02</v>
      </c>
      <c r="H385" s="126">
        <f t="shared" si="67"/>
        <v>94.56</v>
      </c>
      <c r="I385" s="126">
        <f t="shared" si="68"/>
        <v>14562.26</v>
      </c>
      <c r="J385" s="70">
        <f>TRUNC(F385 * E385, 2)</f>
        <v>11647.02</v>
      </c>
      <c r="K385" s="189">
        <f>I385/$I$381</f>
        <v>0.30208152902550889</v>
      </c>
    </row>
    <row r="386" spans="1:12" x14ac:dyDescent="0.2">
      <c r="A386" s="127" t="s">
        <v>724</v>
      </c>
      <c r="B386" s="128"/>
      <c r="C386" s="66" t="s">
        <v>725</v>
      </c>
      <c r="D386" s="66"/>
      <c r="E386" s="141"/>
      <c r="F386" s="143">
        <f>F387+F390+F397</f>
        <v>2782.41</v>
      </c>
      <c r="G386" s="143">
        <f>G387+G390+G397</f>
        <v>73384.92</v>
      </c>
      <c r="H386" s="129">
        <f>H387+H390+H397</f>
        <v>3478.8</v>
      </c>
      <c r="I386" s="129">
        <f>I387+I390+I397</f>
        <v>91753.12</v>
      </c>
      <c r="J386" s="75">
        <f>J387+J390+J397</f>
        <v>73384.92</v>
      </c>
      <c r="K386" s="189">
        <f>I386/$I$407</f>
        <v>5.4230719662098859E-2</v>
      </c>
    </row>
    <row r="387" spans="1:12" x14ac:dyDescent="0.2">
      <c r="A387" s="127" t="s">
        <v>726</v>
      </c>
      <c r="B387" s="128"/>
      <c r="C387" s="66" t="s">
        <v>727</v>
      </c>
      <c r="D387" s="66"/>
      <c r="E387" s="141"/>
      <c r="F387" s="143">
        <f>F388+F389</f>
        <v>456.31</v>
      </c>
      <c r="G387" s="143">
        <f>G388+G389</f>
        <v>23207.5</v>
      </c>
      <c r="H387" s="129">
        <f>H388+H389</f>
        <v>570.52</v>
      </c>
      <c r="I387" s="129">
        <f>SUM(I388:I389)</f>
        <v>29016.329999999998</v>
      </c>
      <c r="J387" s="75">
        <f>SUM(J388:J389)</f>
        <v>23207.5</v>
      </c>
      <c r="K387" s="189">
        <f>I387/$I$407</f>
        <v>1.7150113890982116E-2</v>
      </c>
    </row>
    <row r="388" spans="1:12" ht="24" hidden="1" x14ac:dyDescent="0.2">
      <c r="A388" s="63" t="s">
        <v>758</v>
      </c>
      <c r="B388" s="124" t="s">
        <v>728</v>
      </c>
      <c r="C388" s="64" t="s">
        <v>729</v>
      </c>
      <c r="D388" s="125" t="s">
        <v>168</v>
      </c>
      <c r="E388" s="65">
        <v>1</v>
      </c>
      <c r="F388" s="65">
        <v>226.5</v>
      </c>
      <c r="G388" s="65">
        <f t="shared" ref="G388:G402" si="69">TRUNC(E388*F388,2)</f>
        <v>226.5</v>
      </c>
      <c r="H388" s="126">
        <f t="shared" si="67"/>
        <v>283.19</v>
      </c>
      <c r="I388" s="126">
        <f t="shared" ref="I388:I402" si="70">TRUNC(G388*(1+I$8),2)</f>
        <v>283.19</v>
      </c>
      <c r="J388" s="70">
        <f>TRUNC(F388 * E388, 2)</f>
        <v>226.5</v>
      </c>
      <c r="K388" s="189">
        <f>I388/$I$386</f>
        <v>3.0864345539421442E-3</v>
      </c>
    </row>
    <row r="389" spans="1:12" ht="24" hidden="1" x14ac:dyDescent="0.2">
      <c r="A389" s="63" t="s">
        <v>759</v>
      </c>
      <c r="B389" s="124" t="s">
        <v>730</v>
      </c>
      <c r="C389" s="64" t="s">
        <v>1128</v>
      </c>
      <c r="D389" s="125" t="s">
        <v>168</v>
      </c>
      <c r="E389" s="65">
        <v>100</v>
      </c>
      <c r="F389" s="65">
        <v>229.81</v>
      </c>
      <c r="G389" s="65">
        <f t="shared" si="69"/>
        <v>22981</v>
      </c>
      <c r="H389" s="126">
        <f t="shared" si="67"/>
        <v>287.33</v>
      </c>
      <c r="I389" s="126">
        <f t="shared" si="70"/>
        <v>28733.14</v>
      </c>
      <c r="J389" s="70">
        <f>TRUNC(F389 * E389, 2)</f>
        <v>22981</v>
      </c>
      <c r="K389" s="189">
        <f>I389/$I$386</f>
        <v>0.31315708937200176</v>
      </c>
    </row>
    <row r="390" spans="1:12" x14ac:dyDescent="0.2">
      <c r="A390" s="127" t="s">
        <v>731</v>
      </c>
      <c r="B390" s="128"/>
      <c r="C390" s="66" t="s">
        <v>732</v>
      </c>
      <c r="D390" s="66"/>
      <c r="E390" s="141"/>
      <c r="F390" s="143">
        <f>F391+F392+F393+F394+F395+F396</f>
        <v>2087.71</v>
      </c>
      <c r="G390" s="143">
        <f>G391+G392+G393+G394+G395+G396</f>
        <v>18312.22</v>
      </c>
      <c r="H390" s="129">
        <f>H391+H392+H393+H394+H395+H396</f>
        <v>2610.2300000000005</v>
      </c>
      <c r="I390" s="129">
        <f>SUM(I391:I396)</f>
        <v>22895.739999999998</v>
      </c>
      <c r="J390" s="75">
        <f>SUM(J391:J396)</f>
        <v>18312.22</v>
      </c>
      <c r="K390" s="189">
        <f>I390/$I$407</f>
        <v>1.3532536630866648E-2</v>
      </c>
    </row>
    <row r="391" spans="1:12" ht="25.5" hidden="1" x14ac:dyDescent="0.2">
      <c r="A391" s="63" t="s">
        <v>748</v>
      </c>
      <c r="B391" s="124" t="s">
        <v>753</v>
      </c>
      <c r="C391" s="64" t="s">
        <v>733</v>
      </c>
      <c r="D391" s="125" t="s">
        <v>267</v>
      </c>
      <c r="E391" s="65">
        <v>47</v>
      </c>
      <c r="F391" s="65">
        <v>20</v>
      </c>
      <c r="G391" s="65">
        <f t="shared" si="69"/>
        <v>940</v>
      </c>
      <c r="H391" s="126">
        <f t="shared" si="67"/>
        <v>25</v>
      </c>
      <c r="I391" s="126">
        <f t="shared" si="70"/>
        <v>1175.28</v>
      </c>
      <c r="J391" s="70">
        <f t="shared" ref="J391:J396" si="71">TRUNC(F391 * E391, 2)</f>
        <v>940</v>
      </c>
      <c r="K391" s="189">
        <f t="shared" ref="K391:K396" si="72">I391/$I$390</f>
        <v>5.1331819805780464E-2</v>
      </c>
    </row>
    <row r="392" spans="1:12" ht="28.5" hidden="1" customHeight="1" x14ac:dyDescent="0.2">
      <c r="A392" s="63" t="s">
        <v>749</v>
      </c>
      <c r="B392" s="124" t="s">
        <v>754</v>
      </c>
      <c r="C392" s="64" t="s">
        <v>734</v>
      </c>
      <c r="D392" s="125" t="s">
        <v>4</v>
      </c>
      <c r="E392" s="65">
        <v>37</v>
      </c>
      <c r="F392" s="65">
        <v>15</v>
      </c>
      <c r="G392" s="65">
        <f t="shared" si="69"/>
        <v>555</v>
      </c>
      <c r="H392" s="126">
        <f t="shared" si="67"/>
        <v>18.75</v>
      </c>
      <c r="I392" s="126">
        <f t="shared" si="70"/>
        <v>693.91</v>
      </c>
      <c r="J392" s="70">
        <f t="shared" si="71"/>
        <v>555</v>
      </c>
      <c r="K392" s="189">
        <f t="shared" si="72"/>
        <v>3.030738469252359E-2</v>
      </c>
    </row>
    <row r="393" spans="1:12" ht="24" hidden="1" x14ac:dyDescent="0.2">
      <c r="A393" s="63" t="s">
        <v>750</v>
      </c>
      <c r="B393" s="124" t="s">
        <v>755</v>
      </c>
      <c r="C393" s="64" t="s">
        <v>735</v>
      </c>
      <c r="D393" s="125" t="s">
        <v>267</v>
      </c>
      <c r="E393" s="65">
        <v>31</v>
      </c>
      <c r="F393" s="65">
        <v>33.619999999999997</v>
      </c>
      <c r="G393" s="65">
        <f t="shared" si="69"/>
        <v>1042.22</v>
      </c>
      <c r="H393" s="126">
        <f t="shared" si="67"/>
        <v>42.03</v>
      </c>
      <c r="I393" s="126">
        <f t="shared" si="70"/>
        <v>1303.08</v>
      </c>
      <c r="J393" s="70">
        <f t="shared" si="71"/>
        <v>1042.22</v>
      </c>
      <c r="K393" s="189">
        <f t="shared" si="72"/>
        <v>5.6913644197566886E-2</v>
      </c>
    </row>
    <row r="394" spans="1:12" ht="18.75" hidden="1" customHeight="1" x14ac:dyDescent="0.2">
      <c r="A394" s="63" t="s">
        <v>751</v>
      </c>
      <c r="B394" s="124" t="s">
        <v>752</v>
      </c>
      <c r="C394" s="64" t="s">
        <v>736</v>
      </c>
      <c r="D394" s="125" t="s">
        <v>4</v>
      </c>
      <c r="E394" s="65">
        <v>308</v>
      </c>
      <c r="F394" s="65">
        <v>7.43</v>
      </c>
      <c r="G394" s="65">
        <f t="shared" si="69"/>
        <v>2288.44</v>
      </c>
      <c r="H394" s="126">
        <f t="shared" si="67"/>
        <v>9.2799999999999994</v>
      </c>
      <c r="I394" s="126">
        <f t="shared" si="70"/>
        <v>2861.23</v>
      </c>
      <c r="J394" s="70">
        <f t="shared" si="71"/>
        <v>2288.44</v>
      </c>
      <c r="K394" s="189">
        <f t="shared" si="72"/>
        <v>0.12496778876769217</v>
      </c>
    </row>
    <row r="395" spans="1:12" ht="28.5" hidden="1" customHeight="1" x14ac:dyDescent="0.2">
      <c r="A395" s="63" t="s">
        <v>747</v>
      </c>
      <c r="B395" s="124" t="s">
        <v>756</v>
      </c>
      <c r="C395" s="64" t="s">
        <v>1129</v>
      </c>
      <c r="D395" s="125" t="s">
        <v>9</v>
      </c>
      <c r="E395" s="65">
        <v>16</v>
      </c>
      <c r="F395" s="65">
        <v>311.66000000000003</v>
      </c>
      <c r="G395" s="65">
        <f t="shared" si="69"/>
        <v>4986.5600000000004</v>
      </c>
      <c r="H395" s="126">
        <f t="shared" si="67"/>
        <v>389.66</v>
      </c>
      <c r="I395" s="126">
        <f t="shared" si="70"/>
        <v>6234.69</v>
      </c>
      <c r="J395" s="70">
        <f t="shared" si="71"/>
        <v>4986.5600000000004</v>
      </c>
      <c r="K395" s="189">
        <f t="shared" si="72"/>
        <v>0.27230786163714299</v>
      </c>
    </row>
    <row r="396" spans="1:12" ht="25.5" hidden="1" x14ac:dyDescent="0.2">
      <c r="A396" s="63" t="s">
        <v>746</v>
      </c>
      <c r="B396" s="124" t="s">
        <v>757</v>
      </c>
      <c r="C396" s="64" t="s">
        <v>1130</v>
      </c>
      <c r="D396" s="125" t="s">
        <v>9</v>
      </c>
      <c r="E396" s="65">
        <v>5</v>
      </c>
      <c r="F396" s="65">
        <v>1700</v>
      </c>
      <c r="G396" s="65">
        <f t="shared" si="69"/>
        <v>8500</v>
      </c>
      <c r="H396" s="126">
        <f t="shared" si="67"/>
        <v>2125.5100000000002</v>
      </c>
      <c r="I396" s="126">
        <f t="shared" si="70"/>
        <v>10627.55</v>
      </c>
      <c r="J396" s="70">
        <f t="shared" si="71"/>
        <v>8500</v>
      </c>
      <c r="K396" s="189">
        <f t="shared" si="72"/>
        <v>0.46417150089929393</v>
      </c>
    </row>
    <row r="397" spans="1:12" x14ac:dyDescent="0.2">
      <c r="A397" s="127" t="s">
        <v>737</v>
      </c>
      <c r="B397" s="128"/>
      <c r="C397" s="66" t="s">
        <v>738</v>
      </c>
      <c r="D397" s="66"/>
      <c r="E397" s="141"/>
      <c r="F397" s="143">
        <f>F398+F399+F400</f>
        <v>238.39000000000001</v>
      </c>
      <c r="G397" s="143">
        <f>G398+G399+G400</f>
        <v>31865.200000000001</v>
      </c>
      <c r="H397" s="129">
        <f>H398+H399+H400</f>
        <v>298.04999999999995</v>
      </c>
      <c r="I397" s="129">
        <f>SUM(I398:I400)</f>
        <v>39841.050000000003</v>
      </c>
      <c r="J397" s="75">
        <f>SUM(J398:J400)</f>
        <v>31865.200000000001</v>
      </c>
      <c r="K397" s="189">
        <f>I397/$I$407</f>
        <v>2.3548069140250098E-2</v>
      </c>
    </row>
    <row r="398" spans="1:12" ht="24" hidden="1" x14ac:dyDescent="0.2">
      <c r="A398" s="63" t="s">
        <v>745</v>
      </c>
      <c r="B398" s="124" t="s">
        <v>739</v>
      </c>
      <c r="C398" s="64" t="s">
        <v>740</v>
      </c>
      <c r="D398" s="125" t="s">
        <v>4</v>
      </c>
      <c r="E398" s="65">
        <v>1254</v>
      </c>
      <c r="F398" s="65">
        <v>7.02</v>
      </c>
      <c r="G398" s="65">
        <f t="shared" si="69"/>
        <v>8803.08</v>
      </c>
      <c r="H398" s="126">
        <f t="shared" si="67"/>
        <v>8.77</v>
      </c>
      <c r="I398" s="126">
        <f t="shared" si="70"/>
        <v>11006.49</v>
      </c>
      <c r="J398" s="70">
        <f>TRUNC(F398 * E398, 2)</f>
        <v>8803.08</v>
      </c>
      <c r="K398" s="189">
        <f>I398/$I$397</f>
        <v>0.27626003832730311</v>
      </c>
    </row>
    <row r="399" spans="1:12" hidden="1" x14ac:dyDescent="0.2">
      <c r="A399" s="63" t="s">
        <v>744</v>
      </c>
      <c r="B399" s="124" t="s">
        <v>1023</v>
      </c>
      <c r="C399" s="64" t="s">
        <v>741</v>
      </c>
      <c r="D399" s="125" t="s">
        <v>4</v>
      </c>
      <c r="E399" s="65">
        <v>52</v>
      </c>
      <c r="F399" s="65">
        <v>1.56</v>
      </c>
      <c r="G399" s="65">
        <f t="shared" si="69"/>
        <v>81.12</v>
      </c>
      <c r="H399" s="126">
        <f t="shared" si="67"/>
        <v>1.95</v>
      </c>
      <c r="I399" s="126">
        <f t="shared" si="70"/>
        <v>101.42</v>
      </c>
      <c r="J399" s="70">
        <f>TRUNC(F399 * E399, 2)</f>
        <v>81.12</v>
      </c>
      <c r="K399" s="189">
        <f>I399/$I$397</f>
        <v>2.545615640150046E-3</v>
      </c>
      <c r="L399" s="1"/>
    </row>
    <row r="400" spans="1:12" ht="15" hidden="1" customHeight="1" x14ac:dyDescent="0.2">
      <c r="A400" s="63" t="s">
        <v>743</v>
      </c>
      <c r="B400" s="124" t="s">
        <v>742</v>
      </c>
      <c r="C400" s="64" t="s">
        <v>1127</v>
      </c>
      <c r="D400" s="125" t="s">
        <v>168</v>
      </c>
      <c r="E400" s="65">
        <v>100</v>
      </c>
      <c r="F400" s="65">
        <v>229.81</v>
      </c>
      <c r="G400" s="65">
        <f t="shared" si="69"/>
        <v>22981</v>
      </c>
      <c r="H400" s="126">
        <f t="shared" si="67"/>
        <v>287.33</v>
      </c>
      <c r="I400" s="126">
        <f t="shared" si="70"/>
        <v>28733.14</v>
      </c>
      <c r="J400" s="70">
        <f>TRUNC(F400 * E400, 2)</f>
        <v>22981</v>
      </c>
      <c r="K400" s="189">
        <f>I400/$I$397</f>
        <v>0.72119434603254673</v>
      </c>
      <c r="L400" s="1"/>
    </row>
    <row r="401" spans="1:18" x14ac:dyDescent="0.2">
      <c r="A401" s="132" t="s">
        <v>772</v>
      </c>
      <c r="B401" s="133"/>
      <c r="C401" s="134" t="s">
        <v>774</v>
      </c>
      <c r="D401" s="135"/>
      <c r="E401" s="136"/>
      <c r="F401" s="143">
        <f>F402</f>
        <v>518.1</v>
      </c>
      <c r="G401" s="143">
        <f>G402</f>
        <v>51810</v>
      </c>
      <c r="H401" s="129">
        <f>H402</f>
        <v>647.78</v>
      </c>
      <c r="I401" s="129">
        <f>I402</f>
        <v>64778.04</v>
      </c>
      <c r="J401" s="76">
        <f>J402</f>
        <v>6217.2</v>
      </c>
      <c r="K401" s="189">
        <f>I401/$I$407</f>
        <v>3.8287087430925799E-2</v>
      </c>
      <c r="L401" s="1"/>
    </row>
    <row r="402" spans="1:18" ht="17.25" hidden="1" customHeight="1" x14ac:dyDescent="0.2">
      <c r="A402" s="63" t="s">
        <v>773</v>
      </c>
      <c r="B402" s="124" t="s">
        <v>1024</v>
      </c>
      <c r="C402" s="64" t="s">
        <v>774</v>
      </c>
      <c r="D402" s="125" t="s">
        <v>168</v>
      </c>
      <c r="E402" s="65">
        <v>100</v>
      </c>
      <c r="F402" s="65">
        <v>518.1</v>
      </c>
      <c r="G402" s="65">
        <f t="shared" si="69"/>
        <v>51810</v>
      </c>
      <c r="H402" s="126">
        <f t="shared" si="67"/>
        <v>647.78</v>
      </c>
      <c r="I402" s="126">
        <f t="shared" si="70"/>
        <v>64778.04</v>
      </c>
      <c r="J402" s="77">
        <f>TRUNC(F402 * 12, 2)</f>
        <v>6217.2</v>
      </c>
      <c r="K402" s="189">
        <f>I402/$I$407</f>
        <v>3.8287087430925799E-2</v>
      </c>
    </row>
    <row r="403" spans="1:18" x14ac:dyDescent="0.2">
      <c r="A403" s="137"/>
      <c r="B403" s="138"/>
      <c r="C403" s="139"/>
      <c r="D403" s="117"/>
      <c r="E403" s="118"/>
      <c r="F403" s="119"/>
      <c r="G403" s="119"/>
      <c r="H403" s="119"/>
      <c r="I403" s="120"/>
      <c r="R403" s="140"/>
    </row>
    <row r="404" spans="1:18" ht="14.25" hidden="1" customHeight="1" x14ac:dyDescent="0.2">
      <c r="A404" s="148"/>
      <c r="B404" s="149"/>
      <c r="C404" s="150"/>
      <c r="D404" s="352" t="s">
        <v>1122</v>
      </c>
      <c r="E404" s="352"/>
      <c r="F404" s="151"/>
      <c r="G404" s="152"/>
      <c r="H404" s="152"/>
      <c r="I404" s="158">
        <f>F12+F20+F46+F50+F75+F82+F91+F120+F135+F142+F163+F169+F173+F191+F200+F205+F209+F237+F258+F290+F338+F342+F358+F373+F380+F386+F401</f>
        <v>64600.959999999999</v>
      </c>
      <c r="R404" s="140"/>
    </row>
    <row r="405" spans="1:18" ht="14.25" hidden="1" customHeight="1" x14ac:dyDescent="0.2">
      <c r="A405" s="137"/>
      <c r="B405" s="138"/>
      <c r="C405" s="139"/>
      <c r="D405" s="355" t="s">
        <v>1123</v>
      </c>
      <c r="E405" s="355"/>
      <c r="G405" s="119"/>
      <c r="H405" s="119"/>
      <c r="I405" s="159">
        <f>G12+G20+G46+G50+G75+G82+G91+G120+G135+G142+G163+G169+G173+G191+G200+G205+G209+G237+G258+G290+G338+G342+G358+G373+G380+G386+G401</f>
        <v>1353199.0300000003</v>
      </c>
      <c r="L405" s="1"/>
      <c r="R405" s="140"/>
    </row>
    <row r="406" spans="1:18" hidden="1" x14ac:dyDescent="0.2">
      <c r="A406" s="137"/>
      <c r="B406" s="138"/>
      <c r="C406" s="139"/>
      <c r="D406" s="356" t="s">
        <v>1124</v>
      </c>
      <c r="E406" s="356"/>
      <c r="G406" s="119"/>
      <c r="H406" s="119"/>
      <c r="I406" s="159">
        <f>H12+H20+H46+H50+H75+H82+H91+H120+H135+H142+H163+H169+H173+H191+H200+H205+H209+H237+H258+H290+H338+H342+H358+H373+H380+H386+H401</f>
        <v>80768.910000000033</v>
      </c>
      <c r="R406" s="140"/>
    </row>
    <row r="407" spans="1:18" ht="18.75" hidden="1" customHeight="1" x14ac:dyDescent="0.2">
      <c r="A407" s="137"/>
      <c r="B407" s="138"/>
      <c r="C407" s="139"/>
      <c r="D407" s="357" t="s">
        <v>1125</v>
      </c>
      <c r="E407" s="357"/>
      <c r="F407" s="165"/>
      <c r="G407" s="166"/>
      <c r="H407" s="166"/>
      <c r="I407" s="167">
        <f>I12+I20+I46+I50+I75+I82+I91+I120+I135+I142+I163+I169+I173+I191+I200+I205+I209+I237+I258+I290+I338+I342+I358+I373+I380+I386+I401</f>
        <v>1691903.0499999993</v>
      </c>
      <c r="L407" s="140"/>
      <c r="R407" s="140"/>
    </row>
    <row r="408" spans="1:18" ht="15" hidden="1" customHeight="1" thickBot="1" x14ac:dyDescent="0.25">
      <c r="A408" s="153"/>
      <c r="B408" s="154"/>
      <c r="C408" s="155"/>
      <c r="D408" s="351" t="s">
        <v>1126</v>
      </c>
      <c r="E408" s="351"/>
      <c r="F408" s="156"/>
      <c r="G408" s="157"/>
      <c r="H408" s="157"/>
      <c r="I408" s="160">
        <f>I407-I405</f>
        <v>338704.01999999909</v>
      </c>
      <c r="R408" s="140"/>
    </row>
    <row r="409" spans="1:18" hidden="1" x14ac:dyDescent="0.2">
      <c r="A409" s="139"/>
      <c r="B409" s="138"/>
      <c r="C409" s="139"/>
      <c r="D409" s="117"/>
      <c r="E409" s="118"/>
      <c r="F409" s="119"/>
      <c r="G409" s="119"/>
      <c r="H409" s="119"/>
      <c r="I409" s="169"/>
      <c r="R409" s="140"/>
    </row>
    <row r="410" spans="1:18" ht="15" hidden="1" customHeight="1" x14ac:dyDescent="0.25">
      <c r="A410" s="361" t="s">
        <v>1134</v>
      </c>
      <c r="B410" s="361"/>
      <c r="C410" s="361"/>
      <c r="D410" s="361"/>
      <c r="E410" s="361"/>
      <c r="F410" s="361"/>
      <c r="G410" s="361"/>
      <c r="H410" s="361"/>
      <c r="I410" s="361"/>
      <c r="J410" s="69"/>
      <c r="K410" s="144"/>
      <c r="L410" s="114" t="e">
        <f>I401/#REF!</f>
        <v>#REF!</v>
      </c>
      <c r="M410" s="69"/>
    </row>
    <row r="411" spans="1:18" x14ac:dyDescent="0.2">
      <c r="A411"/>
      <c r="B411"/>
      <c r="E411" s="18"/>
      <c r="L411" s="115"/>
    </row>
    <row r="412" spans="1:18" x14ac:dyDescent="0.2">
      <c r="A412"/>
      <c r="B412"/>
      <c r="E412" s="18"/>
    </row>
    <row r="413" spans="1:18" x14ac:dyDescent="0.2">
      <c r="A413"/>
      <c r="B413"/>
      <c r="E413" s="18"/>
    </row>
    <row r="414" spans="1:18" x14ac:dyDescent="0.2">
      <c r="A414" s="67"/>
      <c r="B414" s="67"/>
      <c r="C414" s="67"/>
      <c r="E414" s="363"/>
      <c r="F414" s="363"/>
      <c r="G414" s="363"/>
      <c r="H414" s="363"/>
      <c r="I414" s="363"/>
      <c r="J414" s="363"/>
      <c r="K414" s="363"/>
      <c r="L414" s="363"/>
      <c r="M414" s="363"/>
    </row>
    <row r="415" spans="1:18" ht="15" x14ac:dyDescent="0.25">
      <c r="A415" s="358"/>
      <c r="B415" s="359"/>
      <c r="C415" s="359"/>
      <c r="E415" s="360"/>
      <c r="F415" s="360"/>
      <c r="G415" s="360"/>
      <c r="H415" s="360"/>
      <c r="I415" s="360"/>
      <c r="J415" s="360"/>
      <c r="K415" s="360"/>
      <c r="L415" s="360"/>
      <c r="M415" s="360"/>
      <c r="N415" s="116"/>
    </row>
    <row r="416" spans="1:18" x14ac:dyDescent="0.2">
      <c r="A416" s="18"/>
      <c r="B416" s="18"/>
      <c r="C416" s="18"/>
      <c r="E416" s="18"/>
      <c r="I416" s="161"/>
      <c r="J416" s="18"/>
      <c r="K416" s="18"/>
      <c r="L416" s="18"/>
      <c r="M416" s="18"/>
    </row>
    <row r="417" spans="1:13" x14ac:dyDescent="0.2">
      <c r="A417" s="18"/>
      <c r="B417" s="18"/>
      <c r="C417" s="18"/>
      <c r="E417" s="18"/>
      <c r="J417" s="18"/>
      <c r="K417" s="18"/>
      <c r="L417" s="18"/>
      <c r="M417" s="18"/>
    </row>
    <row r="418" spans="1:13" x14ac:dyDescent="0.2">
      <c r="A418" s="18"/>
      <c r="B418" s="18"/>
      <c r="C418" s="18"/>
      <c r="E418" s="18"/>
      <c r="I418" s="121"/>
      <c r="J418" s="18"/>
      <c r="K418" s="18"/>
      <c r="L418" s="18"/>
      <c r="M418" s="18"/>
    </row>
    <row r="419" spans="1:13" x14ac:dyDescent="0.2">
      <c r="A419" s="362"/>
      <c r="B419" s="362"/>
      <c r="C419" s="362"/>
      <c r="E419" s="363"/>
      <c r="F419" s="363"/>
      <c r="G419" s="363"/>
      <c r="H419" s="363"/>
      <c r="I419" s="363"/>
      <c r="J419" s="363"/>
      <c r="K419" s="363"/>
      <c r="L419" s="363"/>
      <c r="M419" s="363"/>
    </row>
    <row r="420" spans="1:13" x14ac:dyDescent="0.2">
      <c r="A420" s="358"/>
      <c r="B420" s="359"/>
      <c r="C420" s="359"/>
      <c r="E420" s="360"/>
      <c r="F420" s="360"/>
      <c r="G420" s="360"/>
      <c r="H420" s="360"/>
      <c r="I420" s="360"/>
      <c r="J420" s="360"/>
      <c r="K420" s="360"/>
      <c r="L420" s="360"/>
      <c r="M420" s="360"/>
    </row>
    <row r="421" spans="1:13" x14ac:dyDescent="0.2">
      <c r="A421"/>
      <c r="B421"/>
      <c r="E421" s="18"/>
    </row>
    <row r="422" spans="1:13" x14ac:dyDescent="0.2">
      <c r="A422"/>
      <c r="B422"/>
      <c r="E422" s="18"/>
    </row>
    <row r="423" spans="1:13" x14ac:dyDescent="0.2">
      <c r="A423"/>
      <c r="B423"/>
      <c r="E423" s="18"/>
    </row>
    <row r="424" spans="1:13" x14ac:dyDescent="0.2">
      <c r="A424" s="362"/>
      <c r="B424" s="362"/>
      <c r="C424" s="362"/>
      <c r="D424" s="67"/>
      <c r="E424" s="363"/>
      <c r="F424" s="363"/>
      <c r="G424" s="363"/>
      <c r="H424" s="363"/>
      <c r="I424" s="363"/>
      <c r="J424" s="363"/>
      <c r="K424" s="363"/>
      <c r="L424" s="363"/>
      <c r="M424" s="363"/>
    </row>
    <row r="425" spans="1:13" x14ac:dyDescent="0.2">
      <c r="A425" s="358"/>
      <c r="B425" s="359"/>
      <c r="C425" s="359"/>
      <c r="D425" s="68"/>
      <c r="E425" s="360"/>
      <c r="F425" s="360"/>
      <c r="G425" s="360"/>
      <c r="H425" s="360"/>
      <c r="I425" s="360"/>
      <c r="J425" s="360"/>
      <c r="K425" s="360"/>
      <c r="L425" s="360"/>
      <c r="M425" s="360"/>
    </row>
  </sheetData>
  <mergeCells count="27">
    <mergeCell ref="A6:I6"/>
    <mergeCell ref="C1:I1"/>
    <mergeCell ref="C2:I2"/>
    <mergeCell ref="A3:I3"/>
    <mergeCell ref="A4:I4"/>
    <mergeCell ref="A5:I5"/>
    <mergeCell ref="A415:C415"/>
    <mergeCell ref="E415:M415"/>
    <mergeCell ref="A7:I7"/>
    <mergeCell ref="A8:F10"/>
    <mergeCell ref="G9:H9"/>
    <mergeCell ref="G10:I10"/>
    <mergeCell ref="D404:E404"/>
    <mergeCell ref="D405:E405"/>
    <mergeCell ref="D406:E406"/>
    <mergeCell ref="D407:E407"/>
    <mergeCell ref="D408:E408"/>
    <mergeCell ref="A410:I410"/>
    <mergeCell ref="E414:M414"/>
    <mergeCell ref="A425:C425"/>
    <mergeCell ref="E425:M425"/>
    <mergeCell ref="A419:C419"/>
    <mergeCell ref="E419:M419"/>
    <mergeCell ref="A420:C420"/>
    <mergeCell ref="E420:M420"/>
    <mergeCell ref="A424:C424"/>
    <mergeCell ref="E424:M424"/>
  </mergeCells>
  <printOptions horizontalCentered="1"/>
  <pageMargins left="0.15748031496062992" right="0.15748031496062992" top="0.34" bottom="0.31496062992125984" header="0.33" footer="0.11811023622047245"/>
  <pageSetup paperSize="9" scale="95" fitToWidth="20" fitToHeight="20" orientation="landscape" r:id="rId1"/>
  <headerFooter>
    <oddHeader xml:space="preserve">&amp;L </oddHeader>
    <oddFooter>&amp;R&amp;"Georgia,Normal"&amp;8&amp;P de &amp;N páginas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7</vt:i4>
      </vt:variant>
    </vt:vector>
  </HeadingPairs>
  <TitlesOfParts>
    <vt:vector size="14" baseType="lpstr">
      <vt:lpstr>Declaração Elaboração Planilha</vt:lpstr>
      <vt:lpstr>Planilha Composição BDI</vt:lpstr>
      <vt:lpstr>Planilha Sintético Estimativa</vt:lpstr>
      <vt:lpstr>cronograma </vt:lpstr>
      <vt:lpstr>Plan1</vt:lpstr>
      <vt:lpstr>Adm.Local.Empresa</vt:lpstr>
      <vt:lpstr>Itens Relevantes</vt:lpstr>
      <vt:lpstr>Adm.Local.Empresa!Area_de_impressao</vt:lpstr>
      <vt:lpstr>'Declaração Elaboração Planilha'!Area_de_impressao</vt:lpstr>
      <vt:lpstr>'Itens Relevantes'!Area_de_impressao</vt:lpstr>
      <vt:lpstr>'Planilha Sintético Estimativa'!Area_de_impressao</vt:lpstr>
      <vt:lpstr>Adm.Local.Empresa!Titulos_de_impressao</vt:lpstr>
      <vt:lpstr>'Itens Relevantes'!Titulos_de_impressao</vt:lpstr>
      <vt:lpstr>'Planilha Sintético Estimativa'!Titulos_de_impressao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Rubens</cp:lastModifiedBy>
  <cp:revision>0</cp:revision>
  <cp:lastPrinted>2023-11-27T14:08:26Z</cp:lastPrinted>
  <dcterms:created xsi:type="dcterms:W3CDTF">2022-11-25T20:44:54Z</dcterms:created>
  <dcterms:modified xsi:type="dcterms:W3CDTF">2023-11-27T14:10:59Z</dcterms:modified>
</cp:coreProperties>
</file>