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ens\Desktop\LOTE 2 MANUTENÇÃO PREDIAL\LOTE 3 MANUTENÇÃO PREDIAL CAMPUS PINHEIRO ALCANTARA\SETEMBRO2023\"/>
    </mc:Choice>
  </mc:AlternateContent>
  <bookViews>
    <workbookView xWindow="-105" yWindow="-105" windowWidth="23250" windowHeight="12570" tabRatio="937" firstSheet="12" activeTab="12"/>
  </bookViews>
  <sheets>
    <sheet name="Prazo Valor" sheetId="2" state="hidden" r:id="rId1"/>
    <sheet name="Pes. Produção" sheetId="7" state="hidden" r:id="rId2"/>
    <sheet name="Vigias" sheetId="22" state="hidden" r:id="rId3"/>
    <sheet name="Pes. Admin." sheetId="13" state="hidden" r:id="rId4"/>
    <sheet name="SESMT" sheetId="19" state="hidden" r:id="rId5"/>
    <sheet name="Mat. Esc. Obra" sheetId="16" state="hidden" r:id="rId6"/>
    <sheet name="Veíc.Mot." sheetId="20" state="hidden" r:id="rId7"/>
    <sheet name="Cant. Obras" sheetId="10" state="hidden" r:id="rId8"/>
    <sheet name="Perm. Vg.Campus" sheetId="25" state="hidden" r:id="rId9"/>
    <sheet name="Qdade . Operários" sheetId="33" state="hidden" r:id="rId10"/>
    <sheet name="Curva ABC de Insumos" sheetId="56" state="hidden" r:id="rId11"/>
    <sheet name="Resumo" sheetId="18" state="hidden" r:id="rId12"/>
    <sheet name="Adm.Local.Empresa" sheetId="24" r:id="rId13"/>
    <sheet name="TAB.DEPR." sheetId="27" state="hidden" r:id="rId14"/>
    <sheet name="Plan1" sheetId="28" state="hidden" r:id="rId15"/>
    <sheet name="Plan2" sheetId="29" state="hidden" r:id="rId16"/>
  </sheets>
  <externalReferences>
    <externalReference r:id="rId17"/>
  </externalReferences>
  <definedNames>
    <definedName name="_xlnm.Print_Area" localSheetId="12">Adm.Local.Empresa!$A$1:$J$81</definedName>
    <definedName name="_xlnm.Print_Titles" localSheetId="12">Adm.Local.Empresa!$3:$8</definedName>
  </definedNames>
  <calcPr calcId="152511"/>
</workbook>
</file>

<file path=xl/calcChain.xml><?xml version="1.0" encoding="utf-8"?>
<calcChain xmlns="http://schemas.openxmlformats.org/spreadsheetml/2006/main">
  <c r="C35" i="24" l="1"/>
  <c r="C34" i="24"/>
  <c r="J28" i="19" l="1"/>
  <c r="I23" i="19"/>
  <c r="D57" i="24" l="1"/>
  <c r="F6" i="25" l="1"/>
  <c r="G6" i="25"/>
  <c r="H6" i="25"/>
  <c r="D12" i="20"/>
  <c r="C10" i="25" l="1"/>
  <c r="E10" i="25" s="1"/>
  <c r="C8" i="25"/>
  <c r="E8" i="25" s="1"/>
  <c r="C20" i="33"/>
  <c r="Q20" i="33" s="1"/>
  <c r="C9" i="33"/>
  <c r="D21" i="33"/>
  <c r="C21" i="33"/>
  <c r="Q10" i="33"/>
  <c r="Q11" i="33"/>
  <c r="Q19" i="33"/>
  <c r="Q23" i="33"/>
  <c r="I22" i="33"/>
  <c r="H22" i="33"/>
  <c r="G22" i="33"/>
  <c r="F22" i="33"/>
  <c r="E22" i="33"/>
  <c r="D22" i="33"/>
  <c r="C22" i="33"/>
  <c r="M21" i="33"/>
  <c r="L21" i="33"/>
  <c r="K21" i="33"/>
  <c r="J21" i="33"/>
  <c r="I21" i="33"/>
  <c r="H21" i="33"/>
  <c r="G21" i="33"/>
  <c r="F21" i="33"/>
  <c r="E21" i="33"/>
  <c r="D15" i="33"/>
  <c r="D13" i="33"/>
  <c r="F6" i="33"/>
  <c r="E6" i="33"/>
  <c r="D6" i="33"/>
  <c r="C18" i="33"/>
  <c r="Q18" i="33" s="1"/>
  <c r="C17" i="33"/>
  <c r="Q17" i="33" s="1"/>
  <c r="C16" i="33"/>
  <c r="Q16" i="33" s="1"/>
  <c r="C15" i="33"/>
  <c r="Q15" i="33" s="1"/>
  <c r="C14" i="33"/>
  <c r="Q14" i="33" s="1"/>
  <c r="C13" i="33"/>
  <c r="C12" i="33"/>
  <c r="Q12" i="33" s="1"/>
  <c r="D9" i="33"/>
  <c r="C8" i="33"/>
  <c r="Q8" i="33" s="1"/>
  <c r="C7" i="33"/>
  <c r="Q7" i="33" s="1"/>
  <c r="C6" i="33"/>
  <c r="C5" i="33"/>
  <c r="F43" i="56"/>
  <c r="Q25" i="33" s="1"/>
  <c r="F58" i="24"/>
  <c r="T24" i="33"/>
  <c r="I26" i="18"/>
  <c r="I28" i="18" s="1"/>
  <c r="Q13" i="33" l="1"/>
  <c r="Q6" i="33"/>
  <c r="Q22" i="33"/>
  <c r="Q21" i="33"/>
  <c r="Q9" i="33"/>
  <c r="F10" i="7"/>
  <c r="C14" i="7"/>
  <c r="C12" i="7"/>
  <c r="C15" i="7" l="1"/>
  <c r="J15" i="13" l="1"/>
  <c r="S20" i="33" l="1"/>
  <c r="S21" i="33"/>
  <c r="S22" i="33"/>
  <c r="S6" i="33"/>
  <c r="D45" i="24"/>
  <c r="F15" i="7" l="1"/>
  <c r="D20" i="13" l="1"/>
  <c r="J13" i="13" l="1"/>
  <c r="J23" i="13"/>
  <c r="AB5" i="13"/>
  <c r="G10" i="7" l="1"/>
  <c r="G14" i="7"/>
  <c r="S19" i="33" l="1"/>
  <c r="Q5" i="33"/>
  <c r="D24" i="13"/>
  <c r="D23" i="13"/>
  <c r="D21" i="13"/>
  <c r="D22" i="13"/>
  <c r="J14" i="13"/>
  <c r="J12" i="13"/>
  <c r="L12" i="13"/>
  <c r="AB14" i="13"/>
  <c r="E11" i="22"/>
  <c r="S7" i="33"/>
  <c r="S8" i="33"/>
  <c r="S9" i="33"/>
  <c r="S10" i="33"/>
  <c r="S11" i="33"/>
  <c r="S12" i="33"/>
  <c r="S13" i="33"/>
  <c r="S14" i="33"/>
  <c r="S15" i="33"/>
  <c r="S16" i="33"/>
  <c r="S17" i="33"/>
  <c r="S18" i="33"/>
  <c r="S23" i="33"/>
  <c r="Q24" i="33" l="1"/>
  <c r="S24" i="33" s="1"/>
  <c r="F22" i="16"/>
  <c r="J11" i="16"/>
  <c r="Q26" i="33" l="1"/>
  <c r="F12" i="13"/>
  <c r="M22" i="13" l="1"/>
  <c r="AB18" i="13"/>
  <c r="M24" i="13" s="1"/>
  <c r="AB17" i="13"/>
  <c r="M23" i="13" s="1"/>
  <c r="AB15" i="13"/>
  <c r="M21" i="13" s="1"/>
  <c r="M20" i="13"/>
  <c r="AB13" i="13"/>
  <c r="M19" i="13" s="1"/>
  <c r="AB12" i="13"/>
  <c r="M18" i="13" s="1"/>
  <c r="AB11" i="13"/>
  <c r="M17" i="13" s="1"/>
  <c r="AB8" i="13"/>
  <c r="M16" i="13" s="1"/>
  <c r="AB7" i="13"/>
  <c r="M15" i="13" s="1"/>
  <c r="AB6" i="13"/>
  <c r="AB4" i="13"/>
  <c r="M13" i="13" s="1"/>
  <c r="H4" i="28" l="1"/>
  <c r="H5" i="28"/>
  <c r="H6" i="28"/>
  <c r="H7" i="28"/>
  <c r="H8" i="28"/>
  <c r="H9" i="28"/>
  <c r="H10" i="28"/>
  <c r="H11" i="28"/>
  <c r="H12" i="28"/>
  <c r="H13" i="28"/>
  <c r="H14" i="28"/>
  <c r="H15" i="28"/>
  <c r="H3" i="28"/>
  <c r="K10" i="25" l="1"/>
  <c r="M10" i="25" s="1"/>
  <c r="O10" i="25" s="1"/>
  <c r="J10" i="25"/>
  <c r="P10" i="25" s="1"/>
  <c r="H10" i="25"/>
  <c r="G10" i="25"/>
  <c r="F10" i="25"/>
  <c r="K8" i="25"/>
  <c r="M8" i="25" s="1"/>
  <c r="O8" i="25" s="1"/>
  <c r="J8" i="25"/>
  <c r="P8" i="25" s="1"/>
  <c r="H8" i="25"/>
  <c r="G8" i="25"/>
  <c r="F8" i="25"/>
  <c r="K6" i="25"/>
  <c r="M6" i="25" s="1"/>
  <c r="O6" i="25" s="1"/>
  <c r="J6" i="25"/>
  <c r="P6" i="25" s="1"/>
  <c r="C6" i="25"/>
  <c r="B1" i="25"/>
  <c r="I26" i="20"/>
  <c r="L6" i="25" l="1"/>
  <c r="N6" i="25" s="1"/>
  <c r="L8" i="25"/>
  <c r="N8" i="25" s="1"/>
  <c r="L10" i="25"/>
  <c r="N10" i="25" s="1"/>
  <c r="J22" i="13"/>
  <c r="J21" i="13"/>
  <c r="J20" i="13"/>
  <c r="J19" i="13"/>
  <c r="J18" i="13"/>
  <c r="J17" i="13"/>
  <c r="J16" i="13"/>
  <c r="G12" i="13" l="1"/>
  <c r="G27" i="22"/>
  <c r="J24" i="13" s="1"/>
  <c r="B7" i="18"/>
  <c r="F18" i="16"/>
  <c r="F19" i="16"/>
  <c r="D14" i="13" l="1"/>
  <c r="D15" i="13"/>
  <c r="D16" i="13"/>
  <c r="D17" i="13"/>
  <c r="D18" i="13"/>
  <c r="D12" i="13"/>
  <c r="I22" i="13"/>
  <c r="I21" i="13"/>
  <c r="L16" i="20"/>
  <c r="L15" i="20"/>
  <c r="I20" i="13"/>
  <c r="E25" i="22"/>
  <c r="D26" i="13" l="1"/>
  <c r="G22" i="13"/>
  <c r="E12" i="22" l="1"/>
  <c r="F18" i="10" l="1"/>
  <c r="M14" i="13" l="1"/>
  <c r="D20" i="22"/>
  <c r="J13" i="20" l="1"/>
  <c r="K13" i="20" s="1"/>
  <c r="D13" i="20"/>
  <c r="I19" i="13" l="1"/>
  <c r="I18" i="13"/>
  <c r="B5" i="10" l="1"/>
  <c r="F21" i="16" l="1"/>
  <c r="F17" i="16"/>
  <c r="F16" i="16" s="1"/>
  <c r="D5" i="10"/>
  <c r="L8" i="20"/>
  <c r="K5" i="16"/>
  <c r="L5" i="19"/>
  <c r="H23" i="2"/>
  <c r="G23" i="2"/>
  <c r="D23" i="2"/>
  <c r="C23" i="2"/>
  <c r="D20" i="2"/>
  <c r="C20" i="2"/>
  <c r="K12" i="13" l="1"/>
  <c r="H12" i="24" s="1"/>
  <c r="S5" i="33"/>
  <c r="F13" i="20"/>
  <c r="F21" i="20"/>
  <c r="E13" i="13"/>
  <c r="I8" i="16"/>
  <c r="K13" i="13" l="1"/>
  <c r="L13" i="13"/>
  <c r="L13" i="20"/>
  <c r="E26" i="20"/>
  <c r="J26" i="20" s="1"/>
  <c r="E21" i="13"/>
  <c r="L21" i="13" s="1"/>
  <c r="E19" i="13"/>
  <c r="E24" i="13"/>
  <c r="E16" i="13"/>
  <c r="E20" i="13"/>
  <c r="E23" i="13"/>
  <c r="L23" i="13" s="1"/>
  <c r="E14" i="13"/>
  <c r="E18" i="13"/>
  <c r="L18" i="13" s="1"/>
  <c r="E15" i="13"/>
  <c r="E17" i="13"/>
  <c r="L19" i="13" l="1"/>
  <c r="G19" i="24" s="1"/>
  <c r="L20" i="13"/>
  <c r="K24" i="13"/>
  <c r="L15" i="13"/>
  <c r="K19" i="13"/>
  <c r="H19" i="24" s="1"/>
  <c r="K18" i="13"/>
  <c r="H18" i="24" s="1"/>
  <c r="K20" i="13"/>
  <c r="H20" i="24" s="1"/>
  <c r="K21" i="13"/>
  <c r="H21" i="24" s="1"/>
  <c r="K23" i="13"/>
  <c r="K14" i="13"/>
  <c r="L14" i="13"/>
  <c r="K15" i="13"/>
  <c r="L17" i="13"/>
  <c r="K17" i="13"/>
  <c r="L16" i="13"/>
  <c r="K16" i="13"/>
  <c r="L24" i="13"/>
  <c r="E22" i="13"/>
  <c r="L22" i="13" s="1"/>
  <c r="L26" i="13" l="1"/>
  <c r="K22" i="13"/>
  <c r="H22" i="24" s="1"/>
  <c r="I15" i="20"/>
  <c r="E17" i="20" s="1"/>
  <c r="C37" i="24" l="1"/>
  <c r="C36" i="24"/>
  <c r="C38" i="24" l="1"/>
  <c r="E45" i="24"/>
  <c r="E44" i="24"/>
  <c r="D30" i="24"/>
  <c r="F45" i="24" l="1"/>
  <c r="C24" i="24" l="1"/>
  <c r="C23" i="24" l="1"/>
  <c r="C22" i="24"/>
  <c r="C21" i="24"/>
  <c r="C20" i="24"/>
  <c r="C19" i="24"/>
  <c r="C18" i="24"/>
  <c r="C17" i="24"/>
  <c r="C16" i="24"/>
  <c r="C15" i="24"/>
  <c r="C14" i="24"/>
  <c r="C13" i="24" l="1"/>
  <c r="C12" i="24" l="1"/>
  <c r="J12" i="20" l="1"/>
  <c r="E55" i="24" s="1"/>
  <c r="K12" i="20" l="1"/>
  <c r="D17" i="20" l="1"/>
  <c r="F17" i="20" s="1"/>
  <c r="D8" i="16"/>
  <c r="E10" i="16"/>
  <c r="L12" i="20" l="1"/>
  <c r="L14" i="20" s="1"/>
  <c r="C55" i="24"/>
  <c r="G55" i="24" s="1"/>
  <c r="D44" i="24"/>
  <c r="F44" i="24" s="1"/>
  <c r="F25" i="16"/>
  <c r="F22" i="20"/>
  <c r="J10" i="16"/>
  <c r="E8" i="16"/>
  <c r="K8" i="16" s="1"/>
  <c r="E9" i="16"/>
  <c r="L22" i="20" l="1"/>
  <c r="J8" i="16"/>
  <c r="F8" i="16"/>
  <c r="D50" i="24" s="1"/>
  <c r="F23" i="16"/>
  <c r="D43" i="24"/>
  <c r="F24" i="16"/>
  <c r="L26" i="20"/>
  <c r="F57" i="24"/>
  <c r="L8" i="19"/>
  <c r="L7" i="19" l="1"/>
  <c r="E9" i="19"/>
  <c r="E31" i="24" s="1"/>
  <c r="E7" i="19" l="1"/>
  <c r="E29" i="24" s="1"/>
  <c r="E8" i="19"/>
  <c r="E30" i="24" l="1"/>
  <c r="H22" i="13"/>
  <c r="G21" i="13"/>
  <c r="H21" i="13" s="1"/>
  <c r="G20" i="13"/>
  <c r="G19" i="13"/>
  <c r="F19" i="13"/>
  <c r="H19" i="13" s="1"/>
  <c r="G18" i="13"/>
  <c r="H18" i="13" s="1"/>
  <c r="F18" i="13"/>
  <c r="I17" i="13"/>
  <c r="I16" i="13"/>
  <c r="G16" i="13" s="1"/>
  <c r="H16" i="24" l="1"/>
  <c r="F17" i="13"/>
  <c r="H17" i="13" s="1"/>
  <c r="H17" i="24"/>
  <c r="F22" i="13"/>
  <c r="F21" i="13"/>
  <c r="F20" i="13"/>
  <c r="H20" i="13" s="1"/>
  <c r="F16" i="13"/>
  <c r="H16" i="13" s="1"/>
  <c r="I15" i="13"/>
  <c r="F15" i="13" l="1"/>
  <c r="H15" i="13" s="1"/>
  <c r="H15" i="24"/>
  <c r="N26" i="13"/>
  <c r="I14" i="13"/>
  <c r="I13" i="13"/>
  <c r="H12" i="13"/>
  <c r="H13" i="24" l="1"/>
  <c r="G14" i="13"/>
  <c r="F14" i="13" s="1"/>
  <c r="H14" i="13" s="1"/>
  <c r="F13" i="13"/>
  <c r="G13" i="13"/>
  <c r="I8" i="19"/>
  <c r="I7" i="19"/>
  <c r="N25" i="13"/>
  <c r="E19" i="24" l="1"/>
  <c r="H13" i="13"/>
  <c r="H14" i="24"/>
  <c r="E14" i="24"/>
  <c r="J8" i="19"/>
  <c r="F8" i="19"/>
  <c r="H8" i="19" s="1"/>
  <c r="G8" i="19"/>
  <c r="J7" i="19"/>
  <c r="F7" i="19"/>
  <c r="H7" i="19" s="1"/>
  <c r="G7" i="19"/>
  <c r="D21" i="24" l="1"/>
  <c r="D15" i="24"/>
  <c r="G15" i="13"/>
  <c r="D23" i="24"/>
  <c r="D14" i="24"/>
  <c r="F14" i="24" s="1"/>
  <c r="D13" i="24"/>
  <c r="D20" i="24"/>
  <c r="D19" i="24"/>
  <c r="F19" i="24" s="1"/>
  <c r="D18" i="24"/>
  <c r="D17" i="24"/>
  <c r="D12" i="24"/>
  <c r="D16" i="24"/>
  <c r="D22" i="24"/>
  <c r="D24" i="24"/>
  <c r="G12" i="24" l="1"/>
  <c r="E27" i="22"/>
  <c r="I23" i="13" l="1"/>
  <c r="E18" i="7"/>
  <c r="E17" i="7"/>
  <c r="D14" i="7"/>
  <c r="G13" i="7"/>
  <c r="D13" i="7"/>
  <c r="G12" i="7"/>
  <c r="D12" i="7"/>
  <c r="G11" i="7"/>
  <c r="D11" i="7"/>
  <c r="D10" i="7"/>
  <c r="E20" i="7" l="1"/>
  <c r="E15" i="22"/>
  <c r="G9" i="7"/>
  <c r="G15" i="7" s="1"/>
  <c r="D9" i="7"/>
  <c r="D15" i="7" s="1"/>
  <c r="E26" i="22" l="1"/>
  <c r="I24" i="13"/>
  <c r="G21" i="7"/>
  <c r="L6" i="19" s="1"/>
  <c r="E16" i="22"/>
  <c r="E17" i="22" s="1"/>
  <c r="E13" i="22"/>
  <c r="E14" i="22" s="1"/>
  <c r="E12" i="24"/>
  <c r="F12" i="24" s="1"/>
  <c r="I12" i="24" s="1"/>
  <c r="E22" i="24"/>
  <c r="F22" i="24" s="1"/>
  <c r="G22" i="24"/>
  <c r="E20" i="24"/>
  <c r="F20" i="24" s="1"/>
  <c r="G20" i="24"/>
  <c r="E15" i="24"/>
  <c r="F15" i="24" s="1"/>
  <c r="G15" i="24"/>
  <c r="E13" i="24"/>
  <c r="F13" i="24" s="1"/>
  <c r="G13" i="24"/>
  <c r="E18" i="24"/>
  <c r="F18" i="24" s="1"/>
  <c r="G18" i="24"/>
  <c r="E16" i="24"/>
  <c r="F16" i="24" s="1"/>
  <c r="G16" i="24"/>
  <c r="G14" i="24"/>
  <c r="I14" i="24" s="1"/>
  <c r="E21" i="24"/>
  <c r="F21" i="24" s="1"/>
  <c r="G21" i="24"/>
  <c r="G17" i="24"/>
  <c r="G23" i="24"/>
  <c r="G24" i="24"/>
  <c r="F30" i="24"/>
  <c r="G30" i="24" s="1"/>
  <c r="F29" i="24"/>
  <c r="G29" i="24" s="1"/>
  <c r="F59" i="24"/>
  <c r="E28" i="22" l="1"/>
  <c r="G24" i="13" s="1"/>
  <c r="H24" i="13" s="1"/>
  <c r="G29" i="22"/>
  <c r="F5" i="10"/>
  <c r="I19" i="24"/>
  <c r="I16" i="24"/>
  <c r="I15" i="24"/>
  <c r="I22" i="24"/>
  <c r="I18" i="24"/>
  <c r="I21" i="24"/>
  <c r="I20" i="24"/>
  <c r="I13" i="24"/>
  <c r="G25" i="24"/>
  <c r="E67" i="24"/>
  <c r="F12" i="10" l="1"/>
  <c r="F16" i="10" s="1"/>
  <c r="F26" i="16"/>
  <c r="D19" i="22"/>
  <c r="G23" i="13" s="1"/>
  <c r="H23" i="13" s="1"/>
  <c r="H24" i="24"/>
  <c r="I9" i="19"/>
  <c r="J9" i="19" s="1"/>
  <c r="F18" i="20"/>
  <c r="E24" i="10"/>
  <c r="F24" i="10" s="1"/>
  <c r="D27" i="16" l="1"/>
  <c r="D29" i="16"/>
  <c r="I17" i="18"/>
  <c r="L17" i="18" s="1"/>
  <c r="H23" i="24"/>
  <c r="H25" i="24" s="1"/>
  <c r="K26" i="13"/>
  <c r="L12" i="18" s="1"/>
  <c r="I16" i="18"/>
  <c r="L16" i="18" s="1"/>
  <c r="H26" i="13"/>
  <c r="E23" i="24"/>
  <c r="F23" i="24" s="1"/>
  <c r="E24" i="24"/>
  <c r="F24" i="24" s="1"/>
  <c r="I24" i="24" s="1"/>
  <c r="I15" i="18"/>
  <c r="F7" i="10"/>
  <c r="E50" i="24"/>
  <c r="F50" i="24" s="1"/>
  <c r="F51" i="24" s="1"/>
  <c r="E66" i="24" s="1"/>
  <c r="F8" i="10"/>
  <c r="F9" i="19"/>
  <c r="G9" i="19"/>
  <c r="F29" i="16" l="1"/>
  <c r="D30" i="16"/>
  <c r="F30" i="16" s="1"/>
  <c r="F27" i="16"/>
  <c r="D28" i="16"/>
  <c r="F28" i="16" s="1"/>
  <c r="I23" i="24"/>
  <c r="I12" i="18"/>
  <c r="K12" i="18"/>
  <c r="F31" i="24"/>
  <c r="G31" i="24" s="1"/>
  <c r="G32" i="24" s="1"/>
  <c r="H9" i="19"/>
  <c r="H10" i="19" s="1"/>
  <c r="G30" i="19" s="1"/>
  <c r="F20" i="16" l="1"/>
  <c r="I9" i="16" s="1"/>
  <c r="J9" i="16" s="1"/>
  <c r="J12" i="16" s="1"/>
  <c r="G39" i="24"/>
  <c r="E64" i="24" s="1"/>
  <c r="I13" i="18"/>
  <c r="E43" i="24" l="1"/>
  <c r="F43" i="24" s="1"/>
  <c r="F46" i="24" s="1"/>
  <c r="L13" i="18"/>
  <c r="I14" i="18" l="1"/>
  <c r="L14" i="18" s="1"/>
  <c r="E65" i="24"/>
  <c r="L15" i="18"/>
  <c r="L18" i="18" l="1"/>
  <c r="L19" i="18" s="1"/>
  <c r="L20" i="18" s="1"/>
  <c r="G17" i="13"/>
  <c r="E17" i="24" s="1"/>
  <c r="F17" i="24" s="1"/>
  <c r="I17" i="24" s="1"/>
  <c r="I25" i="24" s="1"/>
  <c r="I18" i="18"/>
  <c r="K28" i="18" l="1"/>
  <c r="I27" i="18"/>
  <c r="I23" i="18"/>
  <c r="I19" i="18"/>
  <c r="E63" i="24"/>
  <c r="E68" i="24" s="1"/>
  <c r="K68" i="24" s="1"/>
  <c r="F25" i="24"/>
  <c r="K18" i="18"/>
  <c r="K19" i="18" s="1"/>
  <c r="K20" i="18" s="1"/>
  <c r="E69" i="24" l="1"/>
  <c r="E72" i="24" s="1"/>
  <c r="I24" i="18"/>
  <c r="Q24" i="18"/>
</calcChain>
</file>

<file path=xl/sharedStrings.xml><?xml version="1.0" encoding="utf-8"?>
<sst xmlns="http://schemas.openxmlformats.org/spreadsheetml/2006/main" count="1454" uniqueCount="904">
  <si>
    <t>Eletricista</t>
  </si>
  <si>
    <t>Servente</t>
  </si>
  <si>
    <t>Almoxarife</t>
  </si>
  <si>
    <t>QUANTIDADE</t>
  </si>
  <si>
    <t>UNIDADE</t>
  </si>
  <si>
    <t>m²</t>
  </si>
  <si>
    <t>Carpinteiro</t>
  </si>
  <si>
    <t>Pedreiro</t>
  </si>
  <si>
    <t>und</t>
  </si>
  <si>
    <t>Pintor</t>
  </si>
  <si>
    <t>ALVENARIA</t>
  </si>
  <si>
    <t>COBERTURA</t>
  </si>
  <si>
    <t>ESQUADRIAS</t>
  </si>
  <si>
    <t>INSTALAÇÕES HIDRÁULICAS</t>
  </si>
  <si>
    <t>INSTALAÇÕES ELÉTRICAS</t>
  </si>
  <si>
    <t>VALOR DA OBRA X PRAZO DE EXECUÇÃO EM CONDIÇÕES NORMAIS</t>
  </si>
  <si>
    <t>ALVENARIAS</t>
  </si>
  <si>
    <t>PINTURAS</t>
  </si>
  <si>
    <t>INST. HIDRO</t>
  </si>
  <si>
    <t>INST. ELÉTRICAS</t>
  </si>
  <si>
    <t>PRELIMINARES</t>
  </si>
  <si>
    <t>10.001.000,00 à 15.000.000,00</t>
  </si>
  <si>
    <t>ETAPAS</t>
  </si>
  <si>
    <t xml:space="preserve">DISTRIBUIÇÃO </t>
  </si>
  <si>
    <t>FUNDAÇÃO E ESTRUTURA</t>
  </si>
  <si>
    <t>CATEGORIA</t>
  </si>
  <si>
    <t>TOTAL</t>
  </si>
  <si>
    <t>UND</t>
  </si>
  <si>
    <t>FUND. E ESTRUT.</t>
  </si>
  <si>
    <t>ÁREA P/ CONJ.</t>
  </si>
  <si>
    <t>QUANT.  CONJ.</t>
  </si>
  <si>
    <t>ÁREA TOTAL</t>
  </si>
  <si>
    <t>DISTRIBUIÇÃO DOS SERVIÇOS NO PERÍODO DA OBRA</t>
  </si>
  <si>
    <t>RESUMO</t>
  </si>
  <si>
    <t xml:space="preserve">EQUIVALENTE NO PRAZO </t>
  </si>
  <si>
    <t>PRAZO DA OBRA</t>
  </si>
  <si>
    <t>PREÇOS</t>
  </si>
  <si>
    <t xml:space="preserve"> TOTAL</t>
  </si>
  <si>
    <t>FONTE : TAXAS DE DEPRECIAÇÃO DE BENS DO ATIVO IMOBILIZADO - PROF. SERGIO LIMA GALVÃO</t>
  </si>
  <si>
    <t>Espécie de bens</t>
  </si>
  <si>
    <t>Taxa anual   (%)</t>
  </si>
  <si>
    <t xml:space="preserve">Aeronaves e aparelhos espaciais: </t>
  </si>
  <si>
    <t>- balões e dirigíveis; planadores, asas voadoras e outros veículos aéreos, não concebidos para propulsão com motor;</t>
  </si>
  <si>
    <t>- bússolas, incluídas as agulhas de marear. Outros instrumentos e aparelhos de navegação;</t>
  </si>
  <si>
    <t>- outros veículos aéreos (por exemplo: helicópteros, aviões); veículos espaciais (incluídos os satélites) e seus veículos de lançamento; veículos suborbitais;</t>
  </si>
  <si>
    <t>- pára-quedas (incluídos os pára-quedas dirigíveis e os parapentes) e os pára-quedas giratórios;</t>
  </si>
  <si>
    <t>- aparelhos e dispositivos para lançamento de veículos aéreos; aparelhos e dispositivos para aterrissagem de veículos aéreos em porta-aviões e aparelhos e dispositivos semelhantes; aparelhos simuladores de vôo em terra.</t>
  </si>
  <si>
    <t>Animais vivos: </t>
  </si>
  <si>
    <t>20</t>
  </si>
  <si>
    <t>- espécies bovina, suína, cavalar, asinina, muar, ovina e caprina.</t>
  </si>
  <si>
    <t>Aves vivas: </t>
  </si>
  <si>
    <t>50</t>
  </si>
  <si>
    <t>- galos, galinhas, patos, gansos, perus, peruas e galinhas-d'angola (pintadas), das espécies domésticas.</t>
  </si>
  <si>
    <t>Aparelhos:</t>
  </si>
  <si>
    <t>- de radiodetecção e de radiossondagem (radar), aparelhos de radionavegação e aparelhos de radiocomando;</t>
  </si>
  <si>
    <t>- e artefatos para usos químicos ou para outros usos técnicos, de cerâmica; alguidares, gamelas e outros recipientes semelhantes para usos rurais, de cerâmica; bilhas e outras vasilhas próprias para transporte ou embalagem, de cerâmica;</t>
  </si>
  <si>
    <t>- elétricos para telefonia ou telegrafia, por fio, incluídos os aparelhos telefônicos por fio conjugado com um aparelho telefônico portátil sem fio e os aparelhos de telecomunicação por corrente portadora ou de telecomunicação digital; videofones;</t>
  </si>
  <si>
    <t>- painéis indicadores com dispositivos de cristais líquidos (LCD) ou de diodos emissores de luz (LED), próprios para anúncios publicitários;</t>
  </si>
  <si>
    <t>- ou máquinas de tosquiar de motor elétrico incorporado;</t>
  </si>
  <si>
    <t>- receptores para radiotelefonia, radiotelegrafia ou radiodifusão, exceto de uso doméstico;</t>
  </si>
  <si>
    <r>
      <t>- transmissores (emissores) para radiotelefonia, radiotelegrafia, radiodifusão ou televisão, mesmo incorporando um aparelho de recepção ou uma aparelho de gravação ou de reproduçao de som; câmeras de televisão; câmeras de vídeo de imagens fixas e outras câmeras (</t>
    </r>
    <r>
      <rPr>
        <i/>
        <sz val="12"/>
        <color indexed="8"/>
        <rFont val="Arial"/>
        <family val="2"/>
      </rPr>
      <t>camcorders</t>
    </r>
    <r>
      <rPr>
        <sz val="12"/>
        <color indexed="8"/>
        <rFont val="Arial"/>
        <family val="2"/>
      </rPr>
      <t>).</t>
    </r>
  </si>
  <si>
    <t>- de laboratório ou de farmácia (obras de plástico).</t>
  </si>
  <si>
    <r>
      <t>Artigos e equipamentos</t>
    </r>
    <r>
      <rPr>
        <sz val="12"/>
        <color indexed="8"/>
        <rFont val="Arial"/>
        <family val="2"/>
      </rPr>
      <t xml:space="preserve"> para cultura física e ginástica, piscinas, carrosséis, balanços, instalações de tiro-ao-alvo e outras diversões de parques e feiras; circos, coleções de animais e teatros ambulantes.</t>
    </r>
  </si>
  <si>
    <r>
      <t xml:space="preserve">Cartões magnéticos; discos para sistemas de leitura por raio </t>
    </r>
    <r>
      <rPr>
        <i/>
        <sz val="12"/>
        <color indexed="8"/>
        <rFont val="Arial"/>
        <family val="2"/>
      </rPr>
      <t>laser</t>
    </r>
    <r>
      <rPr>
        <sz val="12"/>
        <color indexed="8"/>
        <rFont val="Arial"/>
        <family val="2"/>
      </rPr>
      <t>; fitas magnéticas para reprodução de fenômenos diferentes de som e da imagem; outras fitas magnéticas.</t>
    </r>
  </si>
  <si>
    <t>Computadores e periféricos - Hardware</t>
  </si>
  <si>
    <t>Correias: </t>
  </si>
  <si>
    <t>- de transmissão e correias transportadoras, de plástico; couro ou borracha vulcanizada;</t>
  </si>
  <si>
    <t>- correias transportadoras ou de transmissão, de matérias têxteis, mesmo impregnadas, revestidas ou recobertas, de plástico, ou estratificadas com plástico ou reforçadas com metal ou com outras matérias.</t>
  </si>
  <si>
    <r>
      <t>Cortinados, cortinas e estores; sanefas e artigos semelhantes para</t>
    </r>
    <r>
      <rPr>
        <sz val="12"/>
        <color indexed="8"/>
        <rFont val="Arial"/>
        <family val="2"/>
      </rPr>
      <t xml:space="preserve"> camas para uso em hotéis e hospitais.</t>
    </r>
  </si>
  <si>
    <r>
      <t>Edifícios e benfeitorias</t>
    </r>
    <r>
      <rPr>
        <sz val="12"/>
        <color indexed="8"/>
        <rFont val="Arial"/>
        <family val="2"/>
      </rPr>
      <t xml:space="preserve"> (inclusive pontes e elementos de pontes, torres e pórticos; construções de alumínio e construções pré-fabricadas).</t>
    </r>
  </si>
  <si>
    <t>Embalagens: </t>
  </si>
  <si>
    <t>- barris, cubas, balsas, dornas, selhas e outras obras de tanoeiro;</t>
  </si>
  <si>
    <t>- caixas, caixotes, engradados, e artigos semelhantes;</t>
  </si>
  <si>
    <t>- caixotes, caixas, engradados, barricas e embalagens semelhantes de madeira; carretéis para cabos, de madeira; paletes simples, paletes-caixas e outros estrados para carga, de madeira; taipais de paletes, de madeira;</t>
  </si>
  <si>
    <t>- garrafões, garrafas, frascos e artigos semelhantes;</t>
  </si>
  <si>
    <t>- garrafões, garrafas, frascos, boiões, vasos, embalagens tubulares, ampolas e outros recipientes, de vidro, próprios para transporte ou embalagem; boiões de vidro para conserva;</t>
  </si>
  <si>
    <t>- recipientes para gases comprimidos ou liquefeitos, de alumínio;</t>
  </si>
  <si>
    <t>- recipientes para gases comprimidos ou liquefeitos, de ferro fundido, ferro ou aço;</t>
  </si>
  <si>
    <t>- sacos de quaisquer dimensões, para embalagem;</t>
  </si>
  <si>
    <t>- outros vasilhames.</t>
  </si>
  <si>
    <r>
      <t xml:space="preserve">Encerados e toldos; tendas; velas </t>
    </r>
    <r>
      <rPr>
        <sz val="12"/>
        <color indexed="8"/>
        <rFont val="Arial"/>
        <family val="2"/>
      </rPr>
      <t xml:space="preserve">para embarcações, para pranchas a vela ou para carros a vela; artigos para acampamento. </t>
    </r>
  </si>
  <si>
    <t>Ferramentas:</t>
  </si>
  <si>
    <t>- alicates (mesmos cortantes), tenazes, pinças e ferramentas semelhantes;</t>
  </si>
  <si>
    <t>- chaves de porcas, manuais (incluídas as chaves dinamométricas); chaves de caixa intercambiáveis, mesmo com cabo;</t>
  </si>
  <si>
    <t>- cisalhas para metais e ferramentas semelhantes;</t>
  </si>
  <si>
    <t>- corta-tubos, corta-pinos, saca-bocados e ferramentas semelhantes;</t>
  </si>
  <si>
    <t>- ferramentas de embutir, de estampar ou de puncionar;</t>
  </si>
  <si>
    <t>- eletromecânicas de motor incorporado, de uso manual;</t>
  </si>
  <si>
    <t>- ferramentas manuais (incluídos os corta-vidros) não especificadas nem compreendidas em outras posições, lamparinas ou lâmpadas de soldar (maçaricos) e semelhantes; tornos de apertar, sargentos e semelhantes, exceto os acessórios ou partes de máquinas-ferramentas; bigornas; forjas-portáteis; mós com armação, manuais ou de pedal;</t>
  </si>
  <si>
    <t>- pás, alviões, picaretas, enxadas, sachos, forcados e forquilhas, ancinhos e raspadeiras; machados, podões e ferramentas semelhantes com gume; tesouras de podar de todos os tipos; foices e foicinhas, facas para feno ou para palha, tesouras para sebes, cunhas e outras ferramentas manuais para agricultura, horticultura ou silvicultura;</t>
  </si>
  <si>
    <t>- serras manuais; folhas de serras de todos os tipos (incluídas as fresasserras e as folhas não dentadas para serra).</t>
  </si>
  <si>
    <t>Gravadores: </t>
  </si>
  <si>
    <t>- de dados de vôo;</t>
  </si>
  <si>
    <t>- reprodutor de fita magnética, sem sintonizador;</t>
  </si>
  <si>
    <t>- reprodutor e editor de imagem e som, em discos, por meio magnético, óptico ou optomagnético.</t>
  </si>
  <si>
    <t>Instalações</t>
  </si>
  <si>
    <t>Maquinários</t>
  </si>
  <si>
    <t xml:space="preserve">Maquinários do tipo: </t>
  </si>
  <si>
    <t>25</t>
  </si>
  <si>
    <r>
      <t xml:space="preserve">- </t>
    </r>
    <r>
      <rPr>
        <i/>
        <sz val="12"/>
        <color indexed="8"/>
        <rFont val="Arial"/>
        <family val="2"/>
      </rPr>
      <t>bulldozers</t>
    </r>
    <r>
      <rPr>
        <sz val="12"/>
        <color indexed="8"/>
        <rFont val="Arial"/>
        <family val="2"/>
      </rPr>
      <t xml:space="preserve">, </t>
    </r>
    <r>
      <rPr>
        <i/>
        <sz val="12"/>
        <color indexed="8"/>
        <rFont val="Arial"/>
        <family val="2"/>
      </rPr>
      <t>angledozers</t>
    </r>
    <r>
      <rPr>
        <sz val="12"/>
        <color indexed="8"/>
        <rFont val="Arial"/>
        <family val="2"/>
      </rPr>
      <t>, niveladores, raspo-transportadores (</t>
    </r>
    <r>
      <rPr>
        <i/>
        <sz val="12"/>
        <color indexed="8"/>
        <rFont val="Arial"/>
        <family val="2"/>
      </rPr>
      <t>scrapers</t>
    </r>
    <r>
      <rPr>
        <sz val="12"/>
        <color indexed="8"/>
        <rFont val="Arial"/>
        <family val="2"/>
      </rPr>
      <t>), pás mecânicas, escavadores, carregadoras e pás carregadoras, compactadores e rolos ou cilindros compressores, autopropulsores.</t>
    </r>
  </si>
  <si>
    <t>Máquinas e aparelhos para obras públicas, construção civil ou trabalhos semelhantes.</t>
  </si>
  <si>
    <t xml:space="preserve">Máquinas: </t>
  </si>
  <si>
    <t>- de tosquiar;</t>
  </si>
  <si>
    <t>- e aparelhos para selecionar, peneirar, separar, lavar, esmagar, moer, misturar ou amassar terras, minérios ou outras substâncias minerais sólidas (incluídos os pós e pastas); máquinas para aglomerar ou moldar combustíveis minerais sólidos, pastas cerâmicas, cimento, gesso ou outras matérias minerais em pó ou em pasta; máquinas para fazer moldes de areia para fundição.</t>
  </si>
  <si>
    <t>Modelos para fundição: </t>
  </si>
  <si>
    <t>33,33</t>
  </si>
  <si>
    <t>- caixas de fundição; placas de fundo para moldes; modelos para moldes; moldes para metais (exceto lingoteiras), carbonetos metálicos, vidro, matérias minerais, borracha ou plástico.</t>
  </si>
  <si>
    <t>Móveis e utensílios.</t>
  </si>
  <si>
    <r>
      <t xml:space="preserve">Tapetes e outros revestimentos para pavimentos </t>
    </r>
    <r>
      <rPr>
        <sz val="12"/>
        <color indexed="8"/>
        <rFont val="Arial"/>
        <family val="2"/>
      </rPr>
      <t>(de matérias têxteis).</t>
    </r>
  </si>
  <si>
    <t>Veículos aquáticos: </t>
  </si>
  <si>
    <t>5</t>
  </si>
  <si>
    <t>- barcos: </t>
  </si>
  <si>
    <t>· de pesca; návios-fábricas e outras embarcações para o tratamento ou conservação de produtos de pesca;</t>
  </si>
  <si>
    <t>· barcos-faróis, barcos-bombas, dragas, guindastes flutuantes e outras embarcações em que a navegação é acessória da função principal; docas ou diques flutuantes; plataformas de perfuração ou de exploração, flutuantes ou submersíveis;</t>
  </si>
  <si>
    <t>- outras embarcações, incluídos os navios de guerra e os barcos salva-vidas, exceto os barcos a remo;</t>
  </si>
  <si>
    <t>- rebocadores e barcos concebidos para empurrar outras embarcações;</t>
  </si>
  <si>
    <r>
      <t xml:space="preserve">- transatlânticos, barcos de cruzeiros, </t>
    </r>
    <r>
      <rPr>
        <i/>
        <sz val="12"/>
        <color indexed="8"/>
        <rFont val="Arial"/>
        <family val="2"/>
      </rPr>
      <t>ferry-boats</t>
    </r>
    <r>
      <rPr>
        <sz val="12"/>
        <color indexed="8"/>
        <rFont val="Arial"/>
        <family val="2"/>
      </rPr>
      <t>, cargueiros, chatas e embarcações semelhantes, para o transporte de pessoas ou de mercadorias.</t>
    </r>
  </si>
  <si>
    <t>- barcos infláveis;</t>
  </si>
  <si>
    <t>- balsas infláveis.</t>
  </si>
  <si>
    <t>Veículos terrestres:</t>
  </si>
  <si>
    <r>
      <t>- automóveis de passageiros e outros veículos concebidos para transporte de pessoas (exceto os veículos para transporte de 10 pessoas ou mais, incluindo o motorista), incluídos os veículos de uso misto (</t>
    </r>
    <r>
      <rPr>
        <i/>
        <sz val="12"/>
        <color indexed="8"/>
        <rFont val="Arial"/>
        <family val="2"/>
      </rPr>
      <t>station wagons</t>
    </r>
    <r>
      <rPr>
        <sz val="12"/>
        <color indexed="8"/>
        <rFont val="Arial"/>
        <family val="2"/>
      </rPr>
      <t>) e os automóveis de corrida;</t>
    </r>
  </si>
  <si>
    <t>- reboques e semi-reboques, para quaisquer veículos;</t>
  </si>
  <si>
    <t>- outros veículos não autopropulsores.</t>
  </si>
  <si>
    <t xml:space="preserve">- Automóveis : </t>
  </si>
  <si>
    <t>· para transporte de mercadorias;</t>
  </si>
  <si>
    <t>· para transporte de 10 pessoas ou mais, incluindo o motorista;</t>
  </si>
  <si>
    <t>· para usos especiais (por exemplo: auto-socorros, caminhões-guindastes, veículos de combate a incêndios, caminhões-betoneiras, veículos para varrer, veículos para espalhar, veículos-oficinas, veículos radiológicos), exceto os concebidos principalmente para transporte de pessoas ou de mercadorias;</t>
  </si>
  <si>
    <t>· motocicletas (incluídos os ciclomotores) e outros ciclos equipados com motor auxiliar, mesmo com carro lateral; carros laterais;</t>
  </si>
  <si>
    <t>· tratores (exceto os veículos automóveis sem dispositivo de elevação, dos tipos utilizados em fábricas, armazéns, portos ou aeroportos, para transporte de mercadorias a curtas distâncias; carros-tratores dos tipos utilizados nas estações ferroviárias).</t>
  </si>
  <si>
    <t>1.0</t>
  </si>
  <si>
    <t>2.0</t>
  </si>
  <si>
    <t>3.0</t>
  </si>
  <si>
    <t>4.0</t>
  </si>
  <si>
    <t>5.0</t>
  </si>
  <si>
    <t>6.0</t>
  </si>
  <si>
    <t>7.0</t>
  </si>
  <si>
    <t>8.0</t>
  </si>
  <si>
    <t>9.0</t>
  </si>
  <si>
    <t>10.0</t>
  </si>
  <si>
    <t>11.0</t>
  </si>
  <si>
    <t>12.0</t>
  </si>
  <si>
    <t>13.0</t>
  </si>
  <si>
    <t>14.0</t>
  </si>
  <si>
    <t>15.0</t>
  </si>
  <si>
    <t>16.0</t>
  </si>
  <si>
    <t>17.0</t>
  </si>
  <si>
    <t>18.0</t>
  </si>
  <si>
    <t>19.0</t>
  </si>
  <si>
    <t>20.0</t>
  </si>
  <si>
    <t>21.0</t>
  </si>
  <si>
    <t>22.0</t>
  </si>
  <si>
    <t>23.0</t>
  </si>
  <si>
    <t>24.0</t>
  </si>
  <si>
    <t>até 150.000,00</t>
  </si>
  <si>
    <t>TOMADA DE PREÇOS</t>
  </si>
  <si>
    <t>CONCORRÊNCIA</t>
  </si>
  <si>
    <t>1.500.000,00 à 2.500.000,00</t>
  </si>
  <si>
    <t>1.201.000,00 à 1.499.000,00</t>
  </si>
  <si>
    <t xml:space="preserve">OBRA:  </t>
  </si>
  <si>
    <t>ÁREAS DE VIVÊNCIA</t>
  </si>
  <si>
    <t>ITEM</t>
  </si>
  <si>
    <t xml:space="preserve">OBRA: </t>
  </si>
  <si>
    <t>cj</t>
  </si>
  <si>
    <t xml:space="preserve">EQUIPAMENTOS </t>
  </si>
  <si>
    <t xml:space="preserve">DEPRECIAÇÃO ANUAL (%) </t>
  </si>
  <si>
    <t>TAXA DE DEPRECIAÇÃO  (mês)</t>
  </si>
  <si>
    <t>PERÍODO DE UTILIZAÇÃO (mês)</t>
  </si>
  <si>
    <t xml:space="preserve">DEPRECIAÇÃO NO PERÍODO </t>
  </si>
  <si>
    <t>FONTE - PROF. SERGIO LIMA GALVÃO - PORTAL DO ADMINISTRADOR</t>
  </si>
  <si>
    <t>BOTAS E FARDAMENTOS</t>
  </si>
  <si>
    <t>SERVIÇOS PRELIMINARES</t>
  </si>
  <si>
    <t>UNIVERSIDADE FEDERAL DO MARANHÃO</t>
  </si>
  <si>
    <t>151.000,00 à 400.000,00</t>
  </si>
  <si>
    <t>401.000,00 à 800.000,00</t>
  </si>
  <si>
    <t>801.000,00 à 1.200.000,00</t>
  </si>
  <si>
    <t>2.501.000,00 à 4.000.000,00</t>
  </si>
  <si>
    <t>4.001.000,00 à 6.000.000,00</t>
  </si>
  <si>
    <t>REVESTIMENTOS</t>
  </si>
  <si>
    <t>PISOS/PAVIMENT</t>
  </si>
  <si>
    <t>QUANTIDADE  DE EMPREGADOS NA OBRA</t>
  </si>
  <si>
    <t>Mobiliário - birô, mesa, cadeiras etc</t>
  </si>
  <si>
    <t>-</t>
  </si>
  <si>
    <t>ALMOXARIFADO</t>
  </si>
  <si>
    <t>DEPÓSITO FERRAMENTAS</t>
  </si>
  <si>
    <t>ALOJAMENTO (Módulo composto por cama beliche e armário)</t>
  </si>
  <si>
    <r>
      <t xml:space="preserve">INSTALAÇÕES SANITÁRIAS </t>
    </r>
    <r>
      <rPr>
        <sz val="13"/>
        <rFont val="Calibri"/>
        <family val="2"/>
      </rPr>
      <t>(Conjunto composto por 1 bacia, 1 lavatórorio, 1 mictório e 2 chuveiros - para cada grupo de 20 empregados)</t>
    </r>
  </si>
  <si>
    <r>
      <t xml:space="preserve">VESTIÁRIO </t>
    </r>
    <r>
      <rPr>
        <sz val="13"/>
        <rFont val="Calibri"/>
        <family val="2"/>
      </rPr>
      <t>(no caso de não haver necessidade de alojamento)</t>
    </r>
  </si>
  <si>
    <t>BARRACÃO P/ DEPÓSITO
SINAPI 74210/001</t>
  </si>
  <si>
    <r>
      <t>m</t>
    </r>
    <r>
      <rPr>
        <vertAlign val="superscript"/>
        <sz val="12"/>
        <color theme="1"/>
        <rFont val="Calibri"/>
        <family val="2"/>
        <scheme val="minor"/>
      </rPr>
      <t>2</t>
    </r>
  </si>
  <si>
    <t>H</t>
  </si>
  <si>
    <t>Técnico em Edificações</t>
  </si>
  <si>
    <t>Eletrotécnico</t>
  </si>
  <si>
    <t>Mestre</t>
  </si>
  <si>
    <t>Encarregado</t>
  </si>
  <si>
    <t>Apontador</t>
  </si>
  <si>
    <t>VALOR (R$)</t>
  </si>
  <si>
    <t>Profissionais</t>
  </si>
  <si>
    <t>SINAPI</t>
  </si>
  <si>
    <t>LSH (%):</t>
  </si>
  <si>
    <t>LSM (%):</t>
  </si>
  <si>
    <t>OBRA:</t>
  </si>
  <si>
    <t>RESUMO  GERAL</t>
  </si>
  <si>
    <t>DESCRIÇÃO</t>
  </si>
  <si>
    <t>TOTAL GERAL</t>
  </si>
  <si>
    <t>QUANT</t>
  </si>
  <si>
    <t>VALOR UNITÁRIO (R$)</t>
  </si>
  <si>
    <t>ESCRITÓRIO</t>
  </si>
  <si>
    <t>QUANTIDADE
EMPREGADOS</t>
  </si>
  <si>
    <t>INF A 20</t>
  </si>
  <si>
    <t>20 À 49</t>
  </si>
  <si>
    <t>50 À 100</t>
  </si>
  <si>
    <t>101 À 250</t>
  </si>
  <si>
    <t>251 À 500</t>
  </si>
  <si>
    <t>Médico do Trabalho</t>
  </si>
  <si>
    <t>Engenheiro Segurança do Trabalho</t>
  </si>
  <si>
    <t>Técnico Segurança do Trabalho</t>
  </si>
  <si>
    <t>Médico do 
Trabalho</t>
  </si>
  <si>
    <t>Relatórios</t>
  </si>
  <si>
    <t>PCMSO</t>
  </si>
  <si>
    <t>PCMAT</t>
  </si>
  <si>
    <t xml:space="preserve">TABELA REFERÊNCIA </t>
  </si>
  <si>
    <t>TABELA DE REFERÊNCIA</t>
  </si>
  <si>
    <t>QUANTIDADE
(H/MÊS)</t>
  </si>
  <si>
    <t>8.001.000,00 à 10.000.000,00</t>
  </si>
  <si>
    <t>TABELA DE
REFERÊNCIA</t>
  </si>
  <si>
    <t>QUANTIDADE DE EMPREGADOS X VALOR RELATÓRIO (R$)</t>
  </si>
  <si>
    <t>PRAZO DA OBRA (MÊS)</t>
  </si>
  <si>
    <t>PGRCC</t>
  </si>
  <si>
    <t>TOTAL (R$)</t>
  </si>
  <si>
    <t>VALOR (R$)
(LSM)</t>
  </si>
  <si>
    <t>Engenheiro Eletricista</t>
  </si>
  <si>
    <t>VALOR ADM LOCAL S/ BDI X VALOR RELATÓRIO (R$)</t>
  </si>
  <si>
    <t>SUBTOTAL (1)</t>
  </si>
  <si>
    <t>SUBTOTAL (2)</t>
  </si>
  <si>
    <t>SUBTOTAL (3)</t>
  </si>
  <si>
    <t>Telefonia</t>
  </si>
  <si>
    <t xml:space="preserve">TOTAL </t>
  </si>
  <si>
    <t>VALOR A IDENIZAR</t>
  </si>
  <si>
    <t>CUSTO 
FINAL (R$)</t>
  </si>
  <si>
    <t>PRAZO OBRA
 (MÊS)</t>
  </si>
  <si>
    <t>MÉDIA 50KM/DIA</t>
  </si>
  <si>
    <t>GASOLINA (SINAPI 4222)</t>
  </si>
  <si>
    <t>Vigia Diurno</t>
  </si>
  <si>
    <t>Vigia Noturno</t>
  </si>
  <si>
    <t>DEPRECIAÇÃO DE VEÍCULO AO ANO =  20% /ano  -  DEPRECIAÇÃO DE VEÍCULO AO MÊS  = 0,01667%/mês</t>
  </si>
  <si>
    <t>ATÉ 600.000,00</t>
  </si>
  <si>
    <t>601.000,00 A 1.500.000,00</t>
  </si>
  <si>
    <t>ACIMA 1.500.000,00</t>
  </si>
  <si>
    <t>Plotagens, inclusive As Built</t>
  </si>
  <si>
    <t>m2</t>
  </si>
  <si>
    <t>Item</t>
  </si>
  <si>
    <t xml:space="preserve">Descrição </t>
  </si>
  <si>
    <t>P.Unitário</t>
  </si>
  <si>
    <t>P.Parcial</t>
  </si>
  <si>
    <t>Mobiliário</t>
  </si>
  <si>
    <t>1.1</t>
  </si>
  <si>
    <t>Mesa rústica (1,20 x 0,70)m</t>
  </si>
  <si>
    <t>1.2</t>
  </si>
  <si>
    <t>Cadeira PVC</t>
  </si>
  <si>
    <t>1.3</t>
  </si>
  <si>
    <t>Perfurador</t>
  </si>
  <si>
    <t xml:space="preserve">2.0 </t>
  </si>
  <si>
    <t>2.1</t>
  </si>
  <si>
    <t>Resma</t>
  </si>
  <si>
    <t>2.2</t>
  </si>
  <si>
    <t>2.3</t>
  </si>
  <si>
    <t>2.4</t>
  </si>
  <si>
    <t>Detergente</t>
  </si>
  <si>
    <t>l</t>
  </si>
  <si>
    <t>2.5</t>
  </si>
  <si>
    <t>Água Sanitária</t>
  </si>
  <si>
    <t>2.6</t>
  </si>
  <si>
    <t>Vassourinha p/sanitário</t>
  </si>
  <si>
    <t>2.7</t>
  </si>
  <si>
    <t>Vassourão</t>
  </si>
  <si>
    <t>COMPOSIÇÃO DOS MÓVEIS E MATERIAIS ADMINISTRATIVOS</t>
  </si>
  <si>
    <t>Grampeador  c/ Grampo</t>
  </si>
  <si>
    <t>Quadro  p/ Aviso</t>
  </si>
  <si>
    <t>Papel A4</t>
  </si>
  <si>
    <t>Qtd</t>
  </si>
  <si>
    <t>Und</t>
  </si>
  <si>
    <t>Papel Higiênico (rolo c/ 100m)</t>
  </si>
  <si>
    <t>Material Administrativo (Escritório /Limpeza)</t>
  </si>
  <si>
    <t>Pasta Papelão</t>
  </si>
  <si>
    <t>Engenheiro Mecânico</t>
  </si>
  <si>
    <t>Engenheiro/Arquiteto Pleno</t>
  </si>
  <si>
    <t>Engenheiro/Arquiteto Júnior</t>
  </si>
  <si>
    <t>ADMINISTRAÇÃO LOCAL SEM BDI</t>
  </si>
  <si>
    <t>*UTILIZAR ESTE VALOR NO VOLARE</t>
  </si>
  <si>
    <t>2.8</t>
  </si>
  <si>
    <t>2.9</t>
  </si>
  <si>
    <t>2.10</t>
  </si>
  <si>
    <t xml:space="preserve"> UNITÁRIO
(SINAPI 13617)</t>
  </si>
  <si>
    <t>1 - PESSOAL ADMINISTRAÇÃO</t>
  </si>
  <si>
    <t>VALOR (R$)
C/LSH</t>
  </si>
  <si>
    <t>VALOR (R$)
C/LSM</t>
  </si>
  <si>
    <t>150.000,01 à 400.000,00</t>
  </si>
  <si>
    <t>400.000,01 à 800.000,00</t>
  </si>
  <si>
    <t>800.000,01 à 1.200.000,00</t>
  </si>
  <si>
    <t>1.500.000,01 à 2.500.000,00</t>
  </si>
  <si>
    <t>1.200.000,01 à 1.499.000,00</t>
  </si>
  <si>
    <t>2.500.000,01 à 4.000.000,00</t>
  </si>
  <si>
    <t>4.000.000,01 à 6.000.000,00</t>
  </si>
  <si>
    <t>6.000.000,01 à 8.000.000,00</t>
  </si>
  <si>
    <t>8.000.000,01 à 10.000.000,00</t>
  </si>
  <si>
    <t>10.000.000,01 à 15.000.000,00</t>
  </si>
  <si>
    <t xml:space="preserve">Engenheiro/Arquiteto Pleno </t>
  </si>
  <si>
    <t>1.4</t>
  </si>
  <si>
    <t>1.5</t>
  </si>
  <si>
    <t>1.6</t>
  </si>
  <si>
    <t>1.7</t>
  </si>
  <si>
    <t>1.9</t>
  </si>
  <si>
    <t>1.10</t>
  </si>
  <si>
    <t>1.11</t>
  </si>
  <si>
    <t>1.12</t>
  </si>
  <si>
    <t>1.13</t>
  </si>
  <si>
    <t>TOTAL (1) (R$)</t>
  </si>
  <si>
    <t>VALOR PARCIAL (R$)</t>
  </si>
  <si>
    <t>5.1</t>
  </si>
  <si>
    <t>h</t>
  </si>
  <si>
    <t>5.2</t>
  </si>
  <si>
    <t>Engenheiro de Segurança do Trabalho</t>
  </si>
  <si>
    <t>5.3</t>
  </si>
  <si>
    <t>Técnico em Segurança do Trabalho</t>
  </si>
  <si>
    <t>SUBTOTAL 'a' (R$)</t>
  </si>
  <si>
    <t>5.7</t>
  </si>
  <si>
    <t>SUBTOTAL 'b' (R$)</t>
  </si>
  <si>
    <t>mês</t>
  </si>
  <si>
    <t>Plotagem eletrônica de projetos, inclusive "Como construído"</t>
  </si>
  <si>
    <r>
      <t>m</t>
    </r>
    <r>
      <rPr>
        <vertAlign val="superscript"/>
        <sz val="10"/>
        <rFont val="Arial"/>
        <family val="2"/>
      </rPr>
      <t>2</t>
    </r>
  </si>
  <si>
    <t>TOTAL (6) (R$)</t>
  </si>
  <si>
    <t>TOTAL (7) (R$)</t>
  </si>
  <si>
    <t>Veículo leve utilitário a gasolina (SINAPI 13617)</t>
  </si>
  <si>
    <t>Gasolina (SINAPI 4222)</t>
  </si>
  <si>
    <t>Motorista (SINAPI 4095) c/ LSM</t>
  </si>
  <si>
    <t>TOTAL (8) (R$)</t>
  </si>
  <si>
    <t>PESSOAL ADMINISTRAÇÃO</t>
  </si>
  <si>
    <t>SESMT</t>
  </si>
  <si>
    <t>MAT. ADM., TELEFONIA E PLOTAGEM</t>
  </si>
  <si>
    <t>MOBILIÁRIO, FERRAMENTAS, E EQUIP. DE PEQUENO PORTE</t>
  </si>
  <si>
    <t>TOTAL GERAL (R$)</t>
  </si>
  <si>
    <t>ADMINISTRAÇÃO LOCAL</t>
  </si>
  <si>
    <t>Cidades</t>
  </si>
  <si>
    <t>Dist (KM)</t>
  </si>
  <si>
    <t>permanc p/viagem</t>
  </si>
  <si>
    <t>Pess. Ad Engº</t>
  </si>
  <si>
    <t>Diarias (dias)</t>
  </si>
  <si>
    <t>3s*8h*c/d</t>
  </si>
  <si>
    <t>dia*8horas</t>
  </si>
  <si>
    <t>h/v</t>
  </si>
  <si>
    <t>perm -1</t>
  </si>
  <si>
    <t>sim</t>
  </si>
  <si>
    <t>Cosiderações:</t>
  </si>
  <si>
    <t>Hora de percurso - 80km/h</t>
  </si>
  <si>
    <t>Permanencia - 3 dias * 8 horas</t>
  </si>
  <si>
    <t>Hora de engenheiro - permanencia + hora de percurso</t>
  </si>
  <si>
    <t>Diarias - permanencia - 1 dia</t>
  </si>
  <si>
    <t>Transp.</t>
  </si>
  <si>
    <t xml:space="preserve"> viag/mês</t>
  </si>
  <si>
    <t>VALOR (R$) S/LS</t>
  </si>
  <si>
    <t>MOTORISTA C/LSM</t>
  </si>
  <si>
    <t>QUANTIDADE DE EMPREGADOS NR - 4  (Quadro 2)-Construção Edifícios Grau Risco 3</t>
  </si>
  <si>
    <t>101 à 250</t>
  </si>
  <si>
    <t>251 à 500</t>
  </si>
  <si>
    <t>501 à 1.000</t>
  </si>
  <si>
    <t>1.001 à 2.000</t>
  </si>
  <si>
    <t>2.001 à 3.500</t>
  </si>
  <si>
    <t>3.501 à 5.000</t>
  </si>
  <si>
    <t>&gt;5.000,Gp4.000 ou fr.&gt;2.000</t>
  </si>
  <si>
    <t>1.760+660/grupo</t>
  </si>
  <si>
    <t>440+220p/grupo</t>
  </si>
  <si>
    <t>Quantidade de Operários p/Administração Local</t>
  </si>
  <si>
    <t>Operários</t>
  </si>
  <si>
    <t>Total</t>
  </si>
  <si>
    <t>N.Op.</t>
  </si>
  <si>
    <t>RET.</t>
  </si>
  <si>
    <t>Carpinteiro Forma</t>
  </si>
  <si>
    <t>Bombeiro</t>
  </si>
  <si>
    <t>Diversos</t>
  </si>
  <si>
    <t>Ajudantes</t>
  </si>
  <si>
    <t>Vidraceiro</t>
  </si>
  <si>
    <t>CÁLCULO DE SALÁRIO DE VIGIA</t>
  </si>
  <si>
    <t>1.</t>
  </si>
  <si>
    <t>SConv.</t>
  </si>
  <si>
    <t>2.</t>
  </si>
  <si>
    <t>Smin.</t>
  </si>
  <si>
    <t>3.</t>
  </si>
  <si>
    <t>Salário Normal  (1,05xSconv. Ou Smin)</t>
  </si>
  <si>
    <t>SN</t>
  </si>
  <si>
    <t>4.</t>
  </si>
  <si>
    <t>Horas  normais trabalhadas mês</t>
  </si>
  <si>
    <t>HNM</t>
  </si>
  <si>
    <t>5.</t>
  </si>
  <si>
    <t>Salário hora  (SN/220)</t>
  </si>
  <si>
    <t>SHN</t>
  </si>
  <si>
    <t>Horas  extras segunda à sexta feira (22diasx4h/d)</t>
  </si>
  <si>
    <t>HEM</t>
  </si>
  <si>
    <t>6.</t>
  </si>
  <si>
    <t>Adicional  hora extra segunda à sexta feira (50%SHN)</t>
  </si>
  <si>
    <t>AHEN</t>
  </si>
  <si>
    <t>7.</t>
  </si>
  <si>
    <t>Parcial horas extras segunda à sexta feira (HEMxAHEN)</t>
  </si>
  <si>
    <t>PHEN</t>
  </si>
  <si>
    <t>8.</t>
  </si>
  <si>
    <t>Horas extras sábado/domingo (30dx12h-220h-88h)</t>
  </si>
  <si>
    <t>HESD</t>
  </si>
  <si>
    <t>9.</t>
  </si>
  <si>
    <t>Adicional  hora extra sábado/domingo (100%SHN)</t>
  </si>
  <si>
    <t>AHSD</t>
  </si>
  <si>
    <t>10.</t>
  </si>
  <si>
    <t>Parcial horas extras sábado/domingo  (HESDxAHSD)</t>
  </si>
  <si>
    <t>PHESD</t>
  </si>
  <si>
    <t>TOTAL A PAGAR MÊS (SN+PHEN+PHESD)</t>
  </si>
  <si>
    <t>VIGIA NOTURNO-JORNADA 12/36 HORAS</t>
  </si>
  <si>
    <t>Salário hora  (SN/180)</t>
  </si>
  <si>
    <t>Adicional Noturno ( 20%xSH)</t>
  </si>
  <si>
    <t>NA</t>
  </si>
  <si>
    <t>Horas Noturnas (15 plantõesx8h)</t>
  </si>
  <si>
    <t>HN</t>
  </si>
  <si>
    <t>Parcial de Adicional Noturno (HNxAN)</t>
  </si>
  <si>
    <t>PAN</t>
  </si>
  <si>
    <t>TOTAL A PAGAR MÊS (SN+PAN)</t>
  </si>
  <si>
    <t xml:space="preserve"> CONVITE</t>
  </si>
  <si>
    <t>VEÍCULO LEVE , MOTORISTA E GASOLINA</t>
  </si>
  <si>
    <t>Armador ou ferreiro</t>
  </si>
  <si>
    <t>Serralheiro ou soldador</t>
  </si>
  <si>
    <t xml:space="preserve">1. </t>
  </si>
  <si>
    <t>Salário Mínimo Nacional</t>
  </si>
  <si>
    <t>VIGIA DIURNO-JORNADA ( h)</t>
  </si>
  <si>
    <t>Valor c/encargos</t>
  </si>
  <si>
    <t>Material de Consumo  (Escritório/Limpeza)</t>
  </si>
  <si>
    <t>TOTAL   R$</t>
  </si>
  <si>
    <t>Mobiliário (valor a idenizar)</t>
  </si>
  <si>
    <t>VALOR
 (R$)</t>
  </si>
  <si>
    <t>CONVITE</t>
  </si>
  <si>
    <t>Material</t>
  </si>
  <si>
    <t>Encargo Social Complementar</t>
  </si>
  <si>
    <t xml:space="preserve"> Quant.</t>
  </si>
  <si>
    <t>Valor P/Obra</t>
  </si>
  <si>
    <t>Valor p/Obra</t>
  </si>
  <si>
    <t>TOTAL (1)+(2)+(3)</t>
  </si>
  <si>
    <t>2 - SESMT</t>
  </si>
  <si>
    <t>4- MOBILIÁRIO ( mesa, cadeira, etc.)</t>
  </si>
  <si>
    <t>Mão Obra</t>
  </si>
  <si>
    <t>2- SESMT</t>
  </si>
  <si>
    <t xml:space="preserve">3 -  MATERIAIS ADMINISTRATIVOS, TELEFONIA E PLOTAGEM </t>
  </si>
  <si>
    <t>3.1</t>
  </si>
  <si>
    <t>3.2</t>
  </si>
  <si>
    <t>3.3</t>
  </si>
  <si>
    <t>PREVISÃO DE PESSOAL A SER MOBILIZADO NO PERÍODO</t>
  </si>
  <si>
    <t>4 - MOBILIÁRIO,  FERRAMENTAS E EQUIPAMENTOS DE PEQUENO PORTE (VALOR A INDENIZAR)</t>
  </si>
  <si>
    <t>4.1</t>
  </si>
  <si>
    <t>PRAZO DA OBRA/ Dias</t>
  </si>
  <si>
    <t>3-MATERIAIS ADM, TELEFONIA E PLOTAGEM</t>
  </si>
  <si>
    <t>TOTAL (5) 'a'+'b'(R$)</t>
  </si>
  <si>
    <t>Data</t>
  </si>
  <si>
    <t xml:space="preserve">Obra: </t>
  </si>
  <si>
    <t>UN</t>
  </si>
  <si>
    <t>BARRACÃO P/ SANITÁRIO PESSOAL ADMINISTRAÇÃO -1060106 UFMA</t>
  </si>
  <si>
    <t>Modalidade de Licitação</t>
  </si>
  <si>
    <t xml:space="preserve">DISTRIB. </t>
  </si>
  <si>
    <t>Esquadrias</t>
  </si>
  <si>
    <t>Serviços  Preliminares</t>
  </si>
  <si>
    <t>Administração Local</t>
  </si>
  <si>
    <t>Demolições e Retiradas</t>
  </si>
  <si>
    <t>Fundações/    Infra  Estrutura</t>
  </si>
  <si>
    <t>Estrutura Metálica</t>
  </si>
  <si>
    <t>Alvenarias e Divisórias</t>
  </si>
  <si>
    <t>Cobertura</t>
  </si>
  <si>
    <t>SPDA</t>
  </si>
  <si>
    <t>Instalção Elétrica</t>
  </si>
  <si>
    <t>Instalação Hidráulica</t>
  </si>
  <si>
    <t>Instalação Sanitária</t>
  </si>
  <si>
    <t>Drenagem Pluvial</t>
  </si>
  <si>
    <t>Combate a Incêndio</t>
  </si>
  <si>
    <t>Inst. Lógica/Som /Antena</t>
  </si>
  <si>
    <t>Impermeab.</t>
  </si>
  <si>
    <t>Revest. Paredes/Pisos</t>
  </si>
  <si>
    <t>Vidros</t>
  </si>
  <si>
    <t>Forros</t>
  </si>
  <si>
    <t>Louças e Aces. Sanitários</t>
  </si>
  <si>
    <t>Pav. Externas / Paisagismos</t>
  </si>
  <si>
    <t>Pinturas</t>
  </si>
  <si>
    <t>Serviços Finais</t>
  </si>
  <si>
    <t>Custo Direto da Obra (R$)</t>
  </si>
  <si>
    <t>Prazo  Execução em  dias</t>
  </si>
  <si>
    <t>Movimento           de Terra</t>
  </si>
  <si>
    <t>Distribuição de Serviços em Relação ao Valor da Obra</t>
  </si>
  <si>
    <r>
      <t>Engº/Arquiteto Júnior</t>
    </r>
    <r>
      <rPr>
        <sz val="12"/>
        <color rgb="FFFF0000"/>
        <rFont val="Arial"/>
        <family val="2"/>
      </rPr>
      <t xml:space="preserve"> ( 8,50 SM)</t>
    </r>
    <r>
      <rPr>
        <sz val="12"/>
        <color theme="1"/>
        <rFont val="Arial"/>
        <family val="2"/>
      </rPr>
      <t xml:space="preserve">
</t>
    </r>
  </si>
  <si>
    <r>
      <t xml:space="preserve">Engº Mecânico            </t>
    </r>
    <r>
      <rPr>
        <sz val="12"/>
        <color rgb="FFFF0000"/>
        <rFont val="Arial"/>
        <family val="2"/>
      </rPr>
      <t>(8,50 SM)</t>
    </r>
    <r>
      <rPr>
        <sz val="12"/>
        <color theme="1"/>
        <rFont val="Arial"/>
        <family val="2"/>
      </rPr>
      <t xml:space="preserve">
</t>
    </r>
  </si>
  <si>
    <r>
      <t xml:space="preserve">Engº Eletricista </t>
    </r>
    <r>
      <rPr>
        <sz val="12"/>
        <color rgb="FFFF0000"/>
        <rFont val="Arial"/>
        <family val="2"/>
      </rPr>
      <t>(8,50SM+30% per.)</t>
    </r>
  </si>
  <si>
    <r>
      <t xml:space="preserve">Téc. Edificações             </t>
    </r>
    <r>
      <rPr>
        <sz val="12"/>
        <color rgb="FFFF0000"/>
        <rFont val="Arial"/>
        <family val="2"/>
      </rPr>
      <t xml:space="preserve"> (4,00 SM)</t>
    </r>
  </si>
  <si>
    <r>
      <t xml:space="preserve">Eletrotécnico          </t>
    </r>
    <r>
      <rPr>
        <sz val="12"/>
        <color rgb="FFFF0000"/>
        <rFont val="Arial"/>
        <family val="2"/>
      </rPr>
      <t>(4,00 SM)</t>
    </r>
    <r>
      <rPr>
        <sz val="12"/>
        <color theme="1"/>
        <rFont val="Arial"/>
        <family val="2"/>
      </rPr>
      <t xml:space="preserve">
</t>
    </r>
  </si>
  <si>
    <r>
      <t xml:space="preserve">Apontador-meio oficial </t>
    </r>
    <r>
      <rPr>
        <sz val="12"/>
        <color rgb="FFFF0000"/>
        <rFont val="Arial"/>
        <family val="2"/>
      </rPr>
      <t>(SINDUSCON)</t>
    </r>
    <r>
      <rPr>
        <sz val="12"/>
        <color theme="1"/>
        <rFont val="Arial"/>
        <family val="2"/>
      </rPr>
      <t xml:space="preserve">
</t>
    </r>
  </si>
  <si>
    <r>
      <t>Engº/Arquiteto Pleno</t>
    </r>
    <r>
      <rPr>
        <sz val="12"/>
        <color rgb="FFFF0000"/>
        <rFont val="Arial"/>
        <family val="2"/>
      </rPr>
      <t xml:space="preserve"> (SINAPI 2707)</t>
    </r>
  </si>
  <si>
    <r>
      <t xml:space="preserve">Vigia Diurno </t>
    </r>
    <r>
      <rPr>
        <sz val="12"/>
        <color rgb="FFFF0000"/>
        <rFont val="Arial"/>
        <family val="2"/>
      </rPr>
      <t>(SINDUSCON)</t>
    </r>
  </si>
  <si>
    <r>
      <t xml:space="preserve">Vigia Noturno </t>
    </r>
    <r>
      <rPr>
        <sz val="12"/>
        <color rgb="FFFF0000"/>
        <rFont val="Arial"/>
        <family val="2"/>
      </rPr>
      <t>(SINDUSCON)</t>
    </r>
  </si>
  <si>
    <t>Sub Total</t>
  </si>
  <si>
    <t>Prazo da obra em dias</t>
  </si>
  <si>
    <t>ELEMENTOS PARA ESCRITÓRIO DE OBRA</t>
  </si>
  <si>
    <t xml:space="preserve">Depreciação   anual (%) </t>
  </si>
  <si>
    <t>Depreciação     mês (%)</t>
  </si>
  <si>
    <t>Período de utilização (mês)</t>
  </si>
  <si>
    <t xml:space="preserve">Depreciação no período </t>
  </si>
  <si>
    <t>Und.</t>
  </si>
  <si>
    <t>Unitário</t>
  </si>
  <si>
    <t>Valor a Idenizar</t>
  </si>
  <si>
    <t>Descrição</t>
  </si>
  <si>
    <t>Pz. Ob. (m)</t>
  </si>
  <si>
    <t>Prazo Obra (mês)</t>
  </si>
  <si>
    <t>Qdade.
 (hora/mês)</t>
  </si>
  <si>
    <t xml:space="preserve">Quant.
</t>
  </si>
  <si>
    <t>Salário hora / LSH (R$)</t>
  </si>
  <si>
    <t>Salário hora / LSM (R$)</t>
  </si>
  <si>
    <t>Custo
final</t>
  </si>
  <si>
    <t>Salário hora     s/ LSM (R$)</t>
  </si>
  <si>
    <t>Meio oficial</t>
  </si>
  <si>
    <t>Custo Direto
 da Obra (R$)</t>
  </si>
  <si>
    <t>Prazo Exec. (dias)</t>
  </si>
  <si>
    <t>PESSOAL DE ADMINISTRAÇÃO</t>
  </si>
  <si>
    <r>
      <t xml:space="preserve">REFEITÓRIO </t>
    </r>
    <r>
      <rPr>
        <sz val="13"/>
        <rFont val="Calibri"/>
        <family val="2"/>
      </rPr>
      <t>(Conjunto composto p/mesas cadeiras e cozinha ou local p/aquecimento das refeições)</t>
    </r>
  </si>
  <si>
    <t>BARRACÃO P/ SANITÁRIO CAPACIDADE 60 OPERÁRIOS - 01060103 UFMA</t>
  </si>
  <si>
    <t>Prazo da  Obra em dias</t>
  </si>
  <si>
    <t>Serv. Concr/ Supra  Estrutura</t>
  </si>
  <si>
    <t>Quantidade de Horas</t>
  </si>
  <si>
    <r>
      <t xml:space="preserve">Servente </t>
    </r>
    <r>
      <rPr>
        <sz val="12"/>
        <color rgb="FFFF0000"/>
        <rFont val="Arial"/>
        <family val="2"/>
      </rPr>
      <t>(SINDUSCON)</t>
    </r>
  </si>
  <si>
    <t>Caminhonete cabine simples c/motor1.6 flex, pot.101/104 cv, 2 portas- (SINAPI 13617)</t>
  </si>
  <si>
    <t>MOTORISTA SINAPI 4095</t>
  </si>
  <si>
    <t>MOTORISTA  S/LS</t>
  </si>
  <si>
    <t>2 dias</t>
  </si>
  <si>
    <t>3 dias</t>
  </si>
  <si>
    <t>Valor Obra s/ BDI</t>
  </si>
  <si>
    <t>Percentual do V.O.s/BDI</t>
  </si>
  <si>
    <t>limite Perm. TCU</t>
  </si>
  <si>
    <r>
      <t>Mestre</t>
    </r>
    <r>
      <rPr>
        <sz val="12"/>
        <color rgb="FFFF0000"/>
        <rFont val="Arial"/>
        <family val="2"/>
      </rPr>
      <t>(3 x SM)</t>
    </r>
  </si>
  <si>
    <r>
      <t xml:space="preserve">Encarregado </t>
    </r>
    <r>
      <rPr>
        <sz val="12"/>
        <color rgb="FFFF0000"/>
        <rFont val="Arial"/>
        <family val="2"/>
      </rPr>
      <t>(2 x SM)</t>
    </r>
  </si>
  <si>
    <t>2X2dias</t>
  </si>
  <si>
    <t>3X3dias</t>
  </si>
  <si>
    <r>
      <t xml:space="preserve">Como o veículo será usado apenas </t>
    </r>
    <r>
      <rPr>
        <b/>
        <sz val="11"/>
        <color rgb="FFFF0000"/>
        <rFont val="Calibri"/>
        <family val="2"/>
        <scheme val="minor"/>
      </rPr>
      <t xml:space="preserve"> 'N</t>
    </r>
    <r>
      <rPr>
        <sz val="11"/>
        <color theme="1"/>
        <rFont val="Calibri"/>
        <family val="2"/>
        <scheme val="minor"/>
      </rPr>
      <t>' dias ao mês, considerar  depreciação proporcional.</t>
    </r>
  </si>
  <si>
    <t>Veículo em uso 'N' dias/mês</t>
  </si>
  <si>
    <t xml:space="preserve">GASOLINA </t>
  </si>
  <si>
    <t>Cons. p/litro comb.</t>
  </si>
  <si>
    <t>Permanenciaem dias</t>
  </si>
  <si>
    <t>Dista.  Percor. Mês</t>
  </si>
  <si>
    <t xml:space="preserve">Dist.  S.Luís/ Dest. </t>
  </si>
  <si>
    <t>Custo Campin</t>
  </si>
  <si>
    <t>5.2 - VEÍCULO LEVE Campus (Continente)</t>
  </si>
  <si>
    <t>5.1 - VEÍCULO LEVE (Campus São Luis)</t>
  </si>
  <si>
    <t xml:space="preserve"> UNITÁRIO (C/ DESVALORIZ. INICIAL 10%)</t>
  </si>
  <si>
    <t>Dist. Percor.  no prazo da Obra</t>
  </si>
  <si>
    <t>Alimentação</t>
  </si>
  <si>
    <t xml:space="preserve">Transporte </t>
  </si>
  <si>
    <t xml:space="preserve">Exames  </t>
  </si>
  <si>
    <t>Valores  p/planilha Exel</t>
  </si>
  <si>
    <t>Montador</t>
  </si>
  <si>
    <t>11.</t>
  </si>
  <si>
    <t>12.</t>
  </si>
  <si>
    <t>13.</t>
  </si>
  <si>
    <t>14.</t>
  </si>
  <si>
    <t>15.</t>
  </si>
  <si>
    <t>16.</t>
  </si>
  <si>
    <t>Carpint. Esquadrias</t>
  </si>
  <si>
    <t>Rasteleiro</t>
  </si>
  <si>
    <t>Topografo</t>
  </si>
  <si>
    <t>Jardineiro</t>
  </si>
  <si>
    <t>Operários. Ad. p/sanitários</t>
  </si>
  <si>
    <t>Eng. Júnior</t>
  </si>
  <si>
    <t>95402U</t>
  </si>
  <si>
    <t>Aux.Téc. Engª</t>
  </si>
  <si>
    <t>95323U</t>
  </si>
  <si>
    <t>95405U</t>
  </si>
  <si>
    <t>95401U</t>
  </si>
  <si>
    <t>95392U</t>
  </si>
  <si>
    <t>95393U</t>
  </si>
  <si>
    <t>95388U</t>
  </si>
  <si>
    <t>Engº Pleno</t>
  </si>
  <si>
    <t>95403U</t>
  </si>
  <si>
    <t xml:space="preserve">Sal. Mínimo
</t>
  </si>
  <si>
    <t>QUANT. PESSOAL</t>
  </si>
  <si>
    <t>QUANT. ENGº</t>
  </si>
  <si>
    <t>Enc. Soc. Comp. Unit.</t>
  </si>
  <si>
    <t>BARRACÃO P/ ALOJAMENTO/ESCRITÓRIO/REFEITORIO
SINAPI 73805/001</t>
  </si>
  <si>
    <t>Enc. Soc. Comp. total.</t>
  </si>
  <si>
    <r>
      <t xml:space="preserve">Almoxarife -Oficial </t>
    </r>
    <r>
      <rPr>
        <sz val="12"/>
        <color rgb="FFFF0000"/>
        <rFont val="Arial"/>
        <family val="2"/>
      </rPr>
      <t>(SINDUSCON)</t>
    </r>
    <r>
      <rPr>
        <sz val="12"/>
        <color theme="1"/>
        <rFont val="Arial"/>
        <family val="2"/>
      </rPr>
      <t xml:space="preserve">
</t>
    </r>
  </si>
  <si>
    <t>Materiais consumo(Escritório/Limpeza)</t>
  </si>
  <si>
    <t xml:space="preserve">     Exam/Seg/                 EPI</t>
  </si>
  <si>
    <t xml:space="preserve">     Exam/Seg/ EPI</t>
  </si>
  <si>
    <t xml:space="preserve">     Exam/Seg/EPI</t>
  </si>
  <si>
    <t>Alim/ Exam/Seg/EPI</t>
  </si>
  <si>
    <t>Alim/Tran/Exam/Seg/EPI</t>
  </si>
  <si>
    <t>Observações:           1. Foi considerado o consumo de 10km/litro de gasolina.</t>
  </si>
  <si>
    <t xml:space="preserve"> Viag. mês</t>
  </si>
  <si>
    <t>Engº Segurança
 do Trabalho</t>
  </si>
  <si>
    <t>Topografo/Nivelador</t>
  </si>
  <si>
    <t>95378U</t>
  </si>
  <si>
    <t>Vigia noturno</t>
  </si>
  <si>
    <t>cons. Hora efet. Trab. 22h a 5h c/adc. Not.</t>
  </si>
  <si>
    <t>Pessoal</t>
  </si>
  <si>
    <t>Qdade (h/Und.)</t>
  </si>
  <si>
    <t>Pz.   Obra (mês)</t>
  </si>
  <si>
    <t>Valor Unitario
C/ LS (R$)</t>
  </si>
  <si>
    <t>Valor 
Parcial (R$)</t>
  </si>
  <si>
    <t>Curso Capac.</t>
  </si>
  <si>
    <t>Valor Parc. + Ens. Soc. Comp.+ Curso Capacitação</t>
  </si>
  <si>
    <t>Enc. Soc. Complem.</t>
  </si>
  <si>
    <t>Qdade.</t>
  </si>
  <si>
    <t>V.Unit.
C/LS (R$)</t>
  </si>
  <si>
    <t>Valor
Parcial (R$)</t>
  </si>
  <si>
    <t>Relatório</t>
  </si>
  <si>
    <t>Valor (R$)</t>
  </si>
  <si>
    <t>Itam</t>
  </si>
  <si>
    <t>Valor
 Unit. (R$)</t>
  </si>
  <si>
    <t>Valor Parcial (R$)</t>
  </si>
  <si>
    <t>Valor a Idenizar (R$)</t>
  </si>
  <si>
    <t>Depreciação no
 Períoco da Obra (%)</t>
  </si>
  <si>
    <t>Valor Und. (R$)
(c/ Desvalorização       Inicial 10%)</t>
  </si>
  <si>
    <t>Valor a  Idenizar(R$)</t>
  </si>
  <si>
    <t>Valor R$</t>
  </si>
  <si>
    <t>Valor Unitario (R$)</t>
  </si>
  <si>
    <t>Curs.Cap. Total</t>
  </si>
  <si>
    <t>P/C. Cap.</t>
  </si>
  <si>
    <t>Valor</t>
  </si>
  <si>
    <t>Mesa de PVC (0,80x0,80)m - Refeitório</t>
  </si>
  <si>
    <t>TOTAL GERAL C/ BDI  25,03%</t>
  </si>
  <si>
    <t>ADMINISTRAÇÃO LOCAL C/ BDI. 25,03%</t>
  </si>
  <si>
    <t>Horista</t>
  </si>
  <si>
    <t xml:space="preserve">Código </t>
  </si>
  <si>
    <t>C.Cap. Hor. Unit.</t>
  </si>
  <si>
    <t>TOTAL GERAL C/ TAXA DE ADMINISTRAÇÃO 25,03% (R$)</t>
  </si>
  <si>
    <t>Tempo viagem</t>
  </si>
  <si>
    <t>Mobiliz./Desmobiliz.</t>
  </si>
  <si>
    <t>Cons. Dist.</t>
  </si>
  <si>
    <t xml:space="preserve"> Ferre</t>
  </si>
  <si>
    <t>Ida (arred.)</t>
  </si>
  <si>
    <t>Mobilização/Desmobilização</t>
  </si>
  <si>
    <t>Cam. CHP</t>
  </si>
  <si>
    <t>Cam. CHI</t>
  </si>
  <si>
    <t>8+E*c/d</t>
  </si>
  <si>
    <t>8+D*c/d</t>
  </si>
  <si>
    <t>Mobilização/ desmob: 3 serv. * 8 horas  * 2 (carga/descarga); Caminhão CHP: horas perc * 2 (carg/desc); CHI: 8h * 2;  via Cujupe acresc. valor e tempo  veículo ferre: 2h.</t>
  </si>
  <si>
    <t>Mobilização/Desmobiliz Levantamento Topográfico: desconsiderar este serviço,  os equipamentos a serem mobilizados cabem no veículo caminhonete  Incl. Ad. Local</t>
  </si>
  <si>
    <t>Armador/Ferreiro</t>
  </si>
  <si>
    <t>Encanador/Bombeiro</t>
  </si>
  <si>
    <t>Montador/Serralheiro/Soldador</t>
  </si>
  <si>
    <t>Prazo dias</t>
  </si>
  <si>
    <t>Valor custo s/BDI</t>
  </si>
  <si>
    <t>Seguro</t>
  </si>
  <si>
    <t xml:space="preserve">Ferramentas </t>
  </si>
  <si>
    <t>EPI</t>
  </si>
  <si>
    <t>Totalde E.S.C</t>
  </si>
  <si>
    <t>Encargos Sociais Complementares-Junho/2019</t>
  </si>
  <si>
    <r>
      <t xml:space="preserve">Engº Mecânico </t>
    </r>
    <r>
      <rPr>
        <sz val="12"/>
        <color rgb="FFFF0000"/>
        <rFont val="Arial"/>
        <family val="2"/>
      </rPr>
      <t>(8,50 SM)</t>
    </r>
    <r>
      <rPr>
        <sz val="12"/>
        <color theme="1"/>
        <rFont val="Arial"/>
        <family val="2"/>
      </rPr>
      <t xml:space="preserve">
</t>
    </r>
  </si>
  <si>
    <r>
      <t xml:space="preserve">Eletrotécnico   </t>
    </r>
    <r>
      <rPr>
        <sz val="12"/>
        <color rgb="FFFF0000"/>
        <rFont val="Arial"/>
        <family val="2"/>
      </rPr>
      <t>(4,00 SM)</t>
    </r>
    <r>
      <rPr>
        <sz val="12"/>
        <color theme="1"/>
        <rFont val="Arial"/>
        <family val="2"/>
      </rPr>
      <t xml:space="preserve">
</t>
    </r>
  </si>
  <si>
    <r>
      <t xml:space="preserve">Apontador-meio oficial </t>
    </r>
    <r>
      <rPr>
        <sz val="12"/>
        <color rgb="FFFF0000"/>
        <rFont val="Arial"/>
        <family val="2"/>
      </rPr>
      <t>(SINDUSCON)</t>
    </r>
  </si>
  <si>
    <r>
      <t xml:space="preserve">Almoxarife -Oficial </t>
    </r>
    <r>
      <rPr>
        <sz val="12"/>
        <color rgb="FFFF0000"/>
        <rFont val="Arial"/>
        <family val="2"/>
      </rPr>
      <t>(SINDUSCON)</t>
    </r>
  </si>
  <si>
    <t>Profissional</t>
  </si>
  <si>
    <t>PEDREIRO</t>
  </si>
  <si>
    <t>ARMADOR</t>
  </si>
  <si>
    <t>CARPINTEIRO DE FORMAS</t>
  </si>
  <si>
    <t>AJUDANTE ESPECIALIZADO</t>
  </si>
  <si>
    <t>ENCANADOR OU BOMBEIRO HIDRAULICO</t>
  </si>
  <si>
    <t>AJUDANTE DE ARMADOR</t>
  </si>
  <si>
    <t>SERRALHEIRO</t>
  </si>
  <si>
    <t>AUXILIAR DE ENCANADOR OU BOMBEIRO HIDRAULICO</t>
  </si>
  <si>
    <t>OPERADOR DE PA CARREGADEIRA</t>
  </si>
  <si>
    <t>OPERADOR DE ESCAVADEIRA</t>
  </si>
  <si>
    <t>MOTORISTA DE CAMINHAO</t>
  </si>
  <si>
    <t>PINTOR</t>
  </si>
  <si>
    <t>Mensalista</t>
  </si>
  <si>
    <t xml:space="preserve">               2. Veículo  apenas para uso do Engenheiro em visita a obra duas viagens de dois dias/mês. Considerado depreciação 5%</t>
  </si>
  <si>
    <t>OPERADOR DE MARTELETE OU MARTELETEIRO</t>
  </si>
  <si>
    <t>Aliment.</t>
  </si>
  <si>
    <t>Ferram.</t>
  </si>
  <si>
    <t xml:space="preserve">Total </t>
  </si>
  <si>
    <t>17.</t>
  </si>
  <si>
    <t>Tecnico em Laboratorio</t>
  </si>
  <si>
    <t>MONTADOR DE ESTRUTURAS METALICAS</t>
  </si>
  <si>
    <t>VIDRACEIRO</t>
  </si>
  <si>
    <t>MOTORISTA OPERADOR DE CAMINHAO COM MUNCK</t>
  </si>
  <si>
    <t>18.</t>
  </si>
  <si>
    <t>SINAPI (MovPreço)</t>
  </si>
  <si>
    <t>SUPERINTENDÊNCIA DE INFRAESTRUTURA-SINFRA</t>
  </si>
  <si>
    <t>........................................</t>
  </si>
  <si>
    <t>Total Geral</t>
  </si>
  <si>
    <t>Total do BDI</t>
  </si>
  <si>
    <t>Total sem BDI</t>
  </si>
  <si>
    <t>Mão de Obra</t>
  </si>
  <si>
    <t>Totais por Tipo</t>
  </si>
  <si>
    <t xml:space="preserve"> 0,00%</t>
  </si>
  <si>
    <t/>
  </si>
  <si>
    <t xml:space="preserve"> 00004248 </t>
  </si>
  <si>
    <t xml:space="preserve"> 00004234 </t>
  </si>
  <si>
    <t xml:space="preserve"> 00004096 </t>
  </si>
  <si>
    <t xml:space="preserve"> 0,01%</t>
  </si>
  <si>
    <t>ELETROTECNICO</t>
  </si>
  <si>
    <t xml:space="preserve"> 00002438 </t>
  </si>
  <si>
    <t>OPERADOR DE GUINCHO OU GUINCHEIRO</t>
  </si>
  <si>
    <t xml:space="preserve"> 00004253 </t>
  </si>
  <si>
    <t xml:space="preserve"> 0,02%</t>
  </si>
  <si>
    <t>AJUDANTE DE SERRALHEIRO</t>
  </si>
  <si>
    <t xml:space="preserve"> 00000252 </t>
  </si>
  <si>
    <t>JARDINEIRO</t>
  </si>
  <si>
    <t xml:space="preserve"> 00025964 </t>
  </si>
  <si>
    <t xml:space="preserve"> 0,03%</t>
  </si>
  <si>
    <t>INSTALADOR DE TUBULACOES (TUBOS/EQUIPAMENTOS)</t>
  </si>
  <si>
    <t xml:space="preserve"> 00002701 </t>
  </si>
  <si>
    <t xml:space="preserve"> 00006114 </t>
  </si>
  <si>
    <t xml:space="preserve"> 00025957 </t>
  </si>
  <si>
    <t>TELHADOR</t>
  </si>
  <si>
    <t xml:space="preserve"> 00012869 </t>
  </si>
  <si>
    <t xml:space="preserve"> 00004257 </t>
  </si>
  <si>
    <t>AUXILIAR DE PEDREIRO</t>
  </si>
  <si>
    <t xml:space="preserve"> 00006127 </t>
  </si>
  <si>
    <t>CARPINTEIRO DE ESQUADRIAS</t>
  </si>
  <si>
    <t xml:space="preserve"> 00001214 </t>
  </si>
  <si>
    <t>OPERADOR DE MAQUINAS E TRATORES DIVERSOS (TERRAPLANAGEM)</t>
  </si>
  <si>
    <t xml:space="preserve"> 00004230 </t>
  </si>
  <si>
    <t xml:space="preserve"> 00010489 </t>
  </si>
  <si>
    <t xml:space="preserve"> 00004093 </t>
  </si>
  <si>
    <t>CARPINTEIRO AUXILIAR</t>
  </si>
  <si>
    <t xml:space="preserve"> 00006117 </t>
  </si>
  <si>
    <t xml:space="preserve"> 00000378 </t>
  </si>
  <si>
    <t>MOTORISTA DE CAMINHAO-BASCULANTE</t>
  </si>
  <si>
    <t xml:space="preserve"> 00020020 </t>
  </si>
  <si>
    <t xml:space="preserve"> 00000246 </t>
  </si>
  <si>
    <t xml:space="preserve"> 00006110 </t>
  </si>
  <si>
    <t>OPERADOR DE BETONEIRA ESTACIONARIA / MISTURADOR</t>
  </si>
  <si>
    <t xml:space="preserve"> 00037666 </t>
  </si>
  <si>
    <t xml:space="preserve"> 00002696 </t>
  </si>
  <si>
    <t>AJUDANTE DE ELETRICISTA</t>
  </si>
  <si>
    <t xml:space="preserve"> 00000247 </t>
  </si>
  <si>
    <t xml:space="preserve"> 00001213 </t>
  </si>
  <si>
    <t>MARMORISTA / GRANITEIRO</t>
  </si>
  <si>
    <t xml:space="preserve"> 00004755 </t>
  </si>
  <si>
    <t xml:space="preserve"> 00000242 </t>
  </si>
  <si>
    <t>ELETRICISTA</t>
  </si>
  <si>
    <t xml:space="preserve"> 00002436 </t>
  </si>
  <si>
    <t xml:space="preserve"> 00004783 </t>
  </si>
  <si>
    <t xml:space="preserve"> 00004750 </t>
  </si>
  <si>
    <t>SERVENTE DE OBRAS</t>
  </si>
  <si>
    <t xml:space="preserve"> 00006111 </t>
  </si>
  <si>
    <t>Geral</t>
  </si>
  <si>
    <t>Improdutiva</t>
  </si>
  <si>
    <t>Operativa</t>
  </si>
  <si>
    <t>Peso Acumulado</t>
  </si>
  <si>
    <t>Valor Acumulado</t>
  </si>
  <si>
    <t>Peso</t>
  </si>
  <si>
    <t>Valor  Unitário</t>
  </si>
  <si>
    <t>Quantidade</t>
  </si>
  <si>
    <t>Tipo</t>
  </si>
  <si>
    <t>Banco</t>
  </si>
  <si>
    <t>Código</t>
  </si>
  <si>
    <t>Curva ABC de Insumos</t>
  </si>
  <si>
    <t>Encargos Sociais</t>
  </si>
  <si>
    <t>B.D.I.</t>
  </si>
  <si>
    <t>Bancos</t>
  </si>
  <si>
    <t>Obra</t>
  </si>
  <si>
    <t>Salário  Servente Conv./2020</t>
  </si>
  <si>
    <t>Diretoria de Planejamento Engenharia e Controle</t>
  </si>
  <si>
    <t xml:space="preserve"> 00002437 </t>
  </si>
  <si>
    <t>MONTADOR DE MAQUINAS</t>
  </si>
  <si>
    <t>Engº Elet.</t>
  </si>
  <si>
    <t>Divisão de Projetos e Sustentabilidade/ Orçamentação</t>
  </si>
  <si>
    <t>Obs: Quando a quantidade  de horas de Engenheiros / Arquitetos &gt;=220h deverá  ser utilizado o encargo   social de mensalista</t>
  </si>
  <si>
    <t>ELETRICISTA DE MANUTENCAO INDUSTRIAL</t>
  </si>
  <si>
    <t xml:space="preserve"> 00002439 </t>
  </si>
  <si>
    <t>OPERADOR DE ROLO COMPACTADOR</t>
  </si>
  <si>
    <t xml:space="preserve"> 00004238 </t>
  </si>
  <si>
    <t>OPERADOR DE MOTONIVELADORA</t>
  </si>
  <si>
    <t xml:space="preserve"> 00004239 </t>
  </si>
  <si>
    <t>IMPERMEABILIZADOR</t>
  </si>
  <si>
    <t xml:space="preserve"> 00012873 </t>
  </si>
  <si>
    <t xml:space="preserve"> 25,03%</t>
  </si>
  <si>
    <t>Desonerado:  85,68%</t>
  </si>
  <si>
    <t xml:space="preserve"> 1,25</t>
  </si>
  <si>
    <t xml:space="preserve"> 11,93</t>
  </si>
  <si>
    <t xml:space="preserve"> 1,77</t>
  </si>
  <si>
    <t xml:space="preserve"> 20,92</t>
  </si>
  <si>
    <t xml:space="preserve"> 5,31</t>
  </si>
  <si>
    <t xml:space="preserve"> 18,38</t>
  </si>
  <si>
    <t xml:space="preserve"> 14,89</t>
  </si>
  <si>
    <t xml:space="preserve"> 8,33</t>
  </si>
  <si>
    <t xml:space="preserve"> 16,22</t>
  </si>
  <si>
    <t xml:space="preserve"> 14,11</t>
  </si>
  <si>
    <t xml:space="preserve"> 68,44</t>
  </si>
  <si>
    <t xml:space="preserve"> 285,16</t>
  </si>
  <si>
    <t xml:space="preserve"> 12,08</t>
  </si>
  <si>
    <t xml:space="preserve"> 435,09</t>
  </si>
  <si>
    <t xml:space="preserve"> 15,11</t>
  </si>
  <si>
    <t xml:space="preserve"> 0,04%</t>
  </si>
  <si>
    <t xml:space="preserve"> 802,23</t>
  </si>
  <si>
    <t xml:space="preserve"> 824,69</t>
  </si>
  <si>
    <t xml:space="preserve"> 14,76</t>
  </si>
  <si>
    <t xml:space="preserve"> 14,26</t>
  </si>
  <si>
    <t xml:space="preserve"> 0,06%</t>
  </si>
  <si>
    <t xml:space="preserve"> 13,46</t>
  </si>
  <si>
    <t xml:space="preserve"> 1.563,06</t>
  </si>
  <si>
    <t xml:space="preserve"> 10,50</t>
  </si>
  <si>
    <t xml:space="preserve"> 6.727,00</t>
  </si>
  <si>
    <t xml:space="preserve"> 7.502,37</t>
  </si>
  <si>
    <t xml:space="preserve"> 9.807,62</t>
  </si>
  <si>
    <t xml:space="preserve"> 10.403,20</t>
  </si>
  <si>
    <t xml:space="preserve"> 11.106,01</t>
  </si>
  <si>
    <t xml:space="preserve"> 12.075,67</t>
  </si>
  <si>
    <t xml:space="preserve"> 17.324,56</t>
  </si>
  <si>
    <t xml:space="preserve"> 9,95</t>
  </si>
  <si>
    <t>Complementação do Espaço da Ciência e do Firmamento e Construção do Planetário-R02</t>
  </si>
  <si>
    <t>REDUZI A CARGA HORARIA MENSAL DO ENGENHEIRO DE 110 PARA 96H.</t>
  </si>
  <si>
    <t xml:space="preserve"> 0,45%</t>
  </si>
  <si>
    <t xml:space="preserve"> 998,79</t>
  </si>
  <si>
    <t xml:space="preserve"> 1,67%</t>
  </si>
  <si>
    <t xml:space="preserve"> 3.669,57</t>
  </si>
  <si>
    <t xml:space="preserve"> 0,15%</t>
  </si>
  <si>
    <t xml:space="preserve"> 175,93</t>
  </si>
  <si>
    <t xml:space="preserve">SINAPI - 08/2021 - Maranhão
</t>
  </si>
  <si>
    <t xml:space="preserve"> 66.801,17</t>
  </si>
  <si>
    <t xml:space="preserve"> 2,68%</t>
  </si>
  <si>
    <t xml:space="preserve"> 54.900,03</t>
  </si>
  <si>
    <t xml:space="preserve"> 2,20%</t>
  </si>
  <si>
    <t xml:space="preserve"> 4,88%</t>
  </si>
  <si>
    <t xml:space="preserve"> 50.056,18</t>
  </si>
  <si>
    <t xml:space="preserve"> 2,01%</t>
  </si>
  <si>
    <t xml:space="preserve"> 6,88%</t>
  </si>
  <si>
    <t xml:space="preserve"> 41.557,94</t>
  </si>
  <si>
    <t xml:space="preserve"> 8,55%</t>
  </si>
  <si>
    <t xml:space="preserve"> 22.863,95</t>
  </si>
  <si>
    <t xml:space="preserve"> 0,92%</t>
  </si>
  <si>
    <t xml:space="preserve"> 9,47%</t>
  </si>
  <si>
    <t xml:space="preserve"> 18.899,04</t>
  </si>
  <si>
    <t xml:space="preserve"> 0,76%</t>
  </si>
  <si>
    <t xml:space="preserve"> 10,22%</t>
  </si>
  <si>
    <t xml:space="preserve"> 0,69%</t>
  </si>
  <si>
    <t xml:space="preserve"> 10,92%</t>
  </si>
  <si>
    <t xml:space="preserve"> 14.369,25</t>
  </si>
  <si>
    <t xml:space="preserve"> 0,58%</t>
  </si>
  <si>
    <t xml:space="preserve"> 11,49%</t>
  </si>
  <si>
    <t xml:space="preserve"> 0,48%</t>
  </si>
  <si>
    <t xml:space="preserve"> 11,98%</t>
  </si>
  <si>
    <t xml:space="preserve"> 12,42%</t>
  </si>
  <si>
    <t xml:space="preserve"> 0,42%</t>
  </si>
  <si>
    <t xml:space="preserve"> 12,84%</t>
  </si>
  <si>
    <t xml:space="preserve"> 0,39%</t>
  </si>
  <si>
    <t xml:space="preserve"> 13,23%</t>
  </si>
  <si>
    <t xml:space="preserve"> 9.750,46</t>
  </si>
  <si>
    <t xml:space="preserve"> 13,62%</t>
  </si>
  <si>
    <t xml:space="preserve"> 0,30%</t>
  </si>
  <si>
    <t xml:space="preserve"> 13,92%</t>
  </si>
  <si>
    <t xml:space="preserve"> 0,27%</t>
  </si>
  <si>
    <t xml:space="preserve"> 14,19%</t>
  </si>
  <si>
    <t xml:space="preserve"> 6.096,42</t>
  </si>
  <si>
    <t xml:space="preserve"> 0,24%</t>
  </si>
  <si>
    <t xml:space="preserve"> 14,44%</t>
  </si>
  <si>
    <t xml:space="preserve"> 14,59%</t>
  </si>
  <si>
    <t xml:space="preserve"> 1.867,26</t>
  </si>
  <si>
    <t xml:space="preserve"> 0,07%</t>
  </si>
  <si>
    <t xml:space="preserve"> 14,66%</t>
  </si>
  <si>
    <t xml:space="preserve"> 14,72%</t>
  </si>
  <si>
    <t xml:space="preserve"> 1.484,51</t>
  </si>
  <si>
    <t xml:space="preserve"> 14,78%</t>
  </si>
  <si>
    <t xml:space="preserve"> 1.008,34</t>
  </si>
  <si>
    <t xml:space="preserve"> 14,82%</t>
  </si>
  <si>
    <t xml:space="preserve"> 14,86%</t>
  </si>
  <si>
    <t xml:space="preserve"> 14,90%</t>
  </si>
  <si>
    <t xml:space="preserve"> 14,93%</t>
  </si>
  <si>
    <t xml:space="preserve"> 747,18</t>
  </si>
  <si>
    <t xml:space="preserve"> 14,96%</t>
  </si>
  <si>
    <t xml:space="preserve"> 14,98%</t>
  </si>
  <si>
    <t xml:space="preserve"> 14,99%</t>
  </si>
  <si>
    <t xml:space="preserve"> 94,69</t>
  </si>
  <si>
    <t xml:space="preserve"> 15,00%</t>
  </si>
  <si>
    <t xml:space="preserve"> 17,52</t>
  </si>
  <si>
    <t xml:space="preserve"> 13,10</t>
  </si>
  <si>
    <t xml:space="preserve"> 13,39</t>
  </si>
  <si>
    <t xml:space="preserve"> 6,44</t>
  </si>
  <si>
    <t>R$  374.319,80</t>
  </si>
  <si>
    <t xml:space="preserve">_______________________________________________________________
</t>
  </si>
  <si>
    <t>PRAZO contrato
 mês/dias uteis</t>
  </si>
  <si>
    <t>Custo Imperatriz</t>
  </si>
  <si>
    <t>Serviços de Manutenção Preventiva e Corretiva para o Campus II Imperatriz-MA</t>
  </si>
  <si>
    <t>outubro</t>
  </si>
  <si>
    <t>UNIVERSIDADE FEDERAL DO MARANHÃO - UFMA</t>
  </si>
  <si>
    <t>SUPERINTENDÊNCIA DE INFRAESTRUTURA - SINFRA</t>
  </si>
  <si>
    <t>Diretoria de Planejamento e Controle</t>
  </si>
  <si>
    <t>Divisão de Manutenção - DIMAN</t>
  </si>
  <si>
    <t>Serviços de Manutenção Corretiva e Preventiva Predial para os Campus Centro e Bom Jesus - Imperatriz/MA.</t>
  </si>
  <si>
    <t>Serviços de Manutenção Corretiva e Preventiva Predial para os Campus Centro e Bom Jesus - Imperatriz/MA</t>
  </si>
  <si>
    <t>COMPOSIÇÃO ANALITICA DE ADMINISTRAÇÃO DE CONTRATO LOCAL</t>
  </si>
  <si>
    <t>MINISTÉRIO DA EDUCAÇÃO - MEC</t>
  </si>
  <si>
    <t>PODER EXECUTIVO</t>
  </si>
  <si>
    <t>Diretoria de Planejamento Engenharia e Controle - DIPEC</t>
  </si>
  <si>
    <t>VEÍCULO DE APOIO TIPO LEVE</t>
  </si>
  <si>
    <t xml:space="preserve">                                   2. Veículo  apenas para uso do Engenheiro em visita a obra </t>
  </si>
  <si>
    <t>PGR</t>
  </si>
  <si>
    <t>3 - VEÍCULO LEVE</t>
  </si>
  <si>
    <t>1.8</t>
  </si>
  <si>
    <t>DEZ./2022</t>
  </si>
  <si>
    <r>
      <t xml:space="preserve">Oficial
</t>
    </r>
    <r>
      <rPr>
        <sz val="11"/>
        <color theme="0"/>
        <rFont val="Arial"/>
        <family val="2"/>
      </rPr>
      <t>(SINDUSCON)</t>
    </r>
  </si>
  <si>
    <r>
      <t xml:space="preserve">Servente
</t>
    </r>
    <r>
      <rPr>
        <sz val="11"/>
        <color theme="0"/>
        <rFont val="Arial"/>
        <family val="2"/>
      </rPr>
      <t>(SINDUSCON)</t>
    </r>
  </si>
  <si>
    <t>Curso  Capacitação-                               Sinapi Maio/2023</t>
  </si>
  <si>
    <t>Encargos Sociais Complementares-Maio/2023</t>
  </si>
  <si>
    <t>Pinheiro</t>
  </si>
  <si>
    <t xml:space="preserve">Alcântara </t>
  </si>
  <si>
    <t xml:space="preserve">Bacabal </t>
  </si>
  <si>
    <t>Serviços de Manutenção Corretiva e Preventiva Predial para os Campi - Pinheiro, Alcântara, Bacabal e Cururupu/ 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</si>
</sst>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&quot;R$ &quot;#,##0.00_);\(&quot;R$ &quot;#,##0.00\)"/>
    <numFmt numFmtId="165" formatCode="_(* #,##0.00_);_(* \(#,##0.00\);_(* &quot;-&quot;??_);_(@_)"/>
    <numFmt numFmtId="166" formatCode="0.00000"/>
    <numFmt numFmtId="167" formatCode="0.0000"/>
    <numFmt numFmtId="168" formatCode="_(* #,##0.00_);_(* \(#,##0.00\);_(* \-??_);_(@_)"/>
    <numFmt numFmtId="169" formatCode="_(* #,##0_);_(* \(#,##0\);_(* \-??_);_(@_)"/>
    <numFmt numFmtId="170" formatCode="#,##0.0000"/>
    <numFmt numFmtId="171" formatCode="#,##0.0000;[Red]#,##0.0000"/>
    <numFmt numFmtId="172" formatCode="#,##0.00;[Red]#,##0.00"/>
    <numFmt numFmtId="173" formatCode="0.0"/>
  </numFmts>
  <fonts count="1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sz val="14"/>
      <color indexed="8"/>
      <name val="Calibri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13"/>
      <name val="Calibri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name val="Calibri"/>
      <family val="2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Calibri"/>
      <family val="2"/>
      <scheme val="minor"/>
    </font>
    <font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1"/>
      <color theme="5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7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1"/>
      <color indexed="8"/>
      <name val="Arial"/>
      <family val="2"/>
    </font>
    <font>
      <sz val="14"/>
      <color indexed="8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15"/>
      <color theme="1"/>
      <name val="Arial"/>
      <family val="2"/>
    </font>
    <font>
      <b/>
      <sz val="14"/>
      <name val="Arial"/>
      <family val="2"/>
    </font>
    <font>
      <sz val="13"/>
      <color indexed="8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Arial"/>
      <family val="2"/>
    </font>
    <font>
      <b/>
      <sz val="7"/>
      <color rgb="FF000000"/>
      <name val="Arial"/>
      <family val="2"/>
    </font>
    <font>
      <b/>
      <sz val="6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sz val="11"/>
      <name val="Arial"/>
      <family val="1"/>
    </font>
    <font>
      <sz val="10"/>
      <name val="Arial"/>
      <family val="1"/>
    </font>
    <font>
      <b/>
      <sz val="10"/>
      <name val="Arial"/>
      <family val="1"/>
    </font>
    <font>
      <b/>
      <sz val="11"/>
      <name val="Arial"/>
      <family val="1"/>
    </font>
    <font>
      <sz val="10"/>
      <color rgb="FFFF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5"/>
      <name val="Calibri"/>
      <family val="2"/>
      <scheme val="minor"/>
    </font>
    <font>
      <sz val="14"/>
      <name val="Calibri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8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rgb="FFFF0000"/>
      <name val="Arial"/>
      <family val="2"/>
    </font>
    <font>
      <b/>
      <sz val="11"/>
      <color rgb="FFFF0000"/>
      <name val="Calibri"/>
      <family val="2"/>
    </font>
    <font>
      <b/>
      <sz val="11"/>
      <color theme="0" tint="-0.34998626667073579"/>
      <name val="Arial"/>
      <family val="2"/>
    </font>
    <font>
      <sz val="11"/>
      <color theme="0"/>
      <name val="Arial"/>
      <family val="2"/>
    </font>
    <font>
      <sz val="12"/>
      <color theme="0"/>
      <name val="Arial"/>
      <family val="2"/>
    </font>
    <font>
      <b/>
      <sz val="9"/>
      <color rgb="FF333333"/>
      <name val="Arial"/>
      <family val="2"/>
    </font>
    <font>
      <sz val="11"/>
      <color theme="0" tint="-0.34998626667073579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65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D6D6D6"/>
      </patternFill>
    </fill>
    <fill>
      <patternFill patternType="solid">
        <fgColor theme="3" tint="0.79998168889431442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27">
    <xf numFmtId="0" fontId="0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36" fillId="0" borderId="0"/>
    <xf numFmtId="165" fontId="36" fillId="0" borderId="0" applyFont="0" applyFill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4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5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11" borderId="90" applyNumberFormat="0" applyFont="0" applyAlignment="0" applyProtection="0"/>
    <xf numFmtId="0" fontId="34" fillId="11" borderId="90" applyNumberFormat="0" applyFont="0" applyAlignment="0" applyProtection="0"/>
    <xf numFmtId="0" fontId="34" fillId="11" borderId="90" applyNumberFormat="0" applyFont="0" applyAlignment="0" applyProtection="0"/>
    <xf numFmtId="0" fontId="34" fillId="11" borderId="90" applyNumberFormat="0" applyFont="0" applyAlignment="0" applyProtection="0"/>
    <xf numFmtId="0" fontId="34" fillId="11" borderId="90" applyNumberFormat="0" applyFont="0" applyAlignment="0" applyProtection="0"/>
    <xf numFmtId="0" fontId="34" fillId="11" borderId="90" applyNumberFormat="0" applyFont="0" applyAlignment="0" applyProtection="0"/>
    <xf numFmtId="9" fontId="34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103" applyNumberFormat="0" applyFill="0" applyAlignment="0" applyProtection="0"/>
    <xf numFmtId="0" fontId="80" fillId="0" borderId="104" applyNumberFormat="0" applyFill="0" applyAlignment="0" applyProtection="0"/>
    <xf numFmtId="0" fontId="81" fillId="0" borderId="105" applyNumberFormat="0" applyFill="0" applyAlignment="0" applyProtection="0"/>
    <xf numFmtId="0" fontId="81" fillId="0" borderId="0" applyNumberFormat="0" applyFill="0" applyBorder="0" applyAlignment="0" applyProtection="0"/>
    <xf numFmtId="0" fontId="82" fillId="26" borderId="0" applyNumberFormat="0" applyBorder="0" applyAlignment="0" applyProtection="0"/>
    <xf numFmtId="0" fontId="83" fillId="27" borderId="0" applyNumberFormat="0" applyBorder="0" applyAlignment="0" applyProtection="0"/>
    <xf numFmtId="0" fontId="84" fillId="28" borderId="0" applyNumberFormat="0" applyBorder="0" applyAlignment="0" applyProtection="0"/>
    <xf numFmtId="0" fontId="85" fillId="29" borderId="106" applyNumberFormat="0" applyAlignment="0" applyProtection="0"/>
    <xf numFmtId="0" fontId="86" fillId="30" borderId="107" applyNumberFormat="0" applyAlignment="0" applyProtection="0"/>
    <xf numFmtId="0" fontId="87" fillId="30" borderId="106" applyNumberFormat="0" applyAlignment="0" applyProtection="0"/>
    <xf numFmtId="0" fontId="88" fillId="0" borderId="108" applyNumberFormat="0" applyFill="0" applyAlignment="0" applyProtection="0"/>
    <xf numFmtId="0" fontId="89" fillId="31" borderId="109" applyNumberFormat="0" applyAlignment="0" applyProtection="0"/>
    <xf numFmtId="0" fontId="76" fillId="0" borderId="0" applyNumberFormat="0" applyFill="0" applyBorder="0" applyAlignment="0" applyProtection="0"/>
    <xf numFmtId="0" fontId="34" fillId="11" borderId="90" applyNumberFormat="0" applyFont="0" applyAlignment="0" applyProtection="0"/>
    <xf numFmtId="0" fontId="90" fillId="0" borderId="0" applyNumberFormat="0" applyFill="0" applyBorder="0" applyAlignment="0" applyProtection="0"/>
    <xf numFmtId="0" fontId="29" fillId="0" borderId="110" applyNumberFormat="0" applyFill="0" applyAlignment="0" applyProtection="0"/>
    <xf numFmtId="0" fontId="91" fillId="32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91" fillId="33" borderId="0" applyNumberFormat="0" applyBorder="0" applyAlignment="0" applyProtection="0"/>
    <xf numFmtId="0" fontId="91" fillId="34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91" fillId="35" borderId="0" applyNumberFormat="0" applyBorder="0" applyAlignment="0" applyProtection="0"/>
    <xf numFmtId="0" fontId="91" fillId="36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91" fillId="37" borderId="0" applyNumberFormat="0" applyBorder="0" applyAlignment="0" applyProtection="0"/>
    <xf numFmtId="0" fontId="91" fillId="38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91" fillId="39" borderId="0" applyNumberFormat="0" applyBorder="0" applyAlignment="0" applyProtection="0"/>
    <xf numFmtId="0" fontId="91" fillId="40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91" fillId="41" borderId="0" applyNumberFormat="0" applyBorder="0" applyAlignment="0" applyProtection="0"/>
    <xf numFmtId="0" fontId="91" fillId="42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91" fillId="43" borderId="0" applyNumberFormat="0" applyBorder="0" applyAlignment="0" applyProtection="0"/>
    <xf numFmtId="0" fontId="97" fillId="0" borderId="0"/>
  </cellStyleXfs>
  <cellXfs count="1103">
    <xf numFmtId="0" fontId="0" fillId="0" borderId="0" xfId="0"/>
    <xf numFmtId="0" fontId="0" fillId="0" borderId="0" xfId="0" applyAlignment="1">
      <alignment vertical="center"/>
    </xf>
    <xf numFmtId="0" fontId="0" fillId="0" borderId="8" xfId="0" applyBorder="1"/>
    <xf numFmtId="0" fontId="0" fillId="0" borderId="9" xfId="0" applyBorder="1"/>
    <xf numFmtId="0" fontId="13" fillId="0" borderId="0" xfId="0" applyFont="1" applyAlignment="1">
      <alignment horizontal="center"/>
    </xf>
    <xf numFmtId="0" fontId="0" fillId="0" borderId="16" xfId="0" applyBorder="1"/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top" wrapText="1"/>
    </xf>
    <xf numFmtId="0" fontId="14" fillId="2" borderId="19" xfId="0" applyFont="1" applyFill="1" applyBorder="1" applyAlignment="1">
      <alignment horizontal="justify" vertical="top" wrapText="1"/>
    </xf>
    <xf numFmtId="0" fontId="15" fillId="2" borderId="2" xfId="0" applyFont="1" applyFill="1" applyBorder="1" applyAlignment="1">
      <alignment horizontal="justify" vertical="top" wrapText="1"/>
    </xf>
    <xf numFmtId="0" fontId="14" fillId="2" borderId="2" xfId="0" applyFont="1" applyFill="1" applyBorder="1" applyAlignment="1">
      <alignment horizontal="justify" vertical="top" wrapText="1"/>
    </xf>
    <xf numFmtId="0" fontId="14" fillId="3" borderId="2" xfId="0" applyFont="1" applyFill="1" applyBorder="1" applyAlignment="1">
      <alignment horizontal="justify" vertical="top" wrapText="1"/>
    </xf>
    <xf numFmtId="0" fontId="15" fillId="3" borderId="2" xfId="0" applyFont="1" applyFill="1" applyBorder="1" applyAlignment="1">
      <alignment horizontal="justify" vertical="top" wrapText="1"/>
    </xf>
    <xf numFmtId="0" fontId="7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16" fillId="0" borderId="0" xfId="0" applyFont="1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0" fillId="0" borderId="15" xfId="0" applyBorder="1"/>
    <xf numFmtId="0" fontId="0" fillId="0" borderId="51" xfId="0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20" xfId="0" applyBorder="1" applyAlignment="1">
      <alignment horizontal="center" vertical="center" wrapText="1"/>
    </xf>
    <xf numFmtId="0" fontId="0" fillId="0" borderId="35" xfId="0" applyBorder="1" applyAlignment="1">
      <alignment horizontal="center"/>
    </xf>
    <xf numFmtId="0" fontId="0" fillId="0" borderId="10" xfId="0" applyBorder="1"/>
    <xf numFmtId="0" fontId="26" fillId="0" borderId="0" xfId="0" applyFont="1"/>
    <xf numFmtId="0" fontId="27" fillId="0" borderId="0" xfId="0" applyFont="1"/>
    <xf numFmtId="4" fontId="1" fillId="0" borderId="28" xfId="0" applyNumberFormat="1" applyFont="1" applyBorder="1" applyAlignment="1">
      <alignment horizontal="center" vertical="center"/>
    </xf>
    <xf numFmtId="0" fontId="3" fillId="0" borderId="77" xfId="0" applyFont="1" applyBorder="1" applyAlignment="1" applyProtection="1">
      <alignment horizontal="center" vertical="center"/>
      <protection hidden="1"/>
    </xf>
    <xf numFmtId="0" fontId="2" fillId="0" borderId="77" xfId="0" applyFont="1" applyBorder="1" applyAlignment="1" applyProtection="1">
      <alignment horizontal="center" vertical="center"/>
      <protection hidden="1"/>
    </xf>
    <xf numFmtId="0" fontId="16" fillId="0" borderId="28" xfId="0" applyFont="1" applyBorder="1" applyAlignment="1" applyProtection="1">
      <alignment horizontal="center" vertical="center"/>
      <protection hidden="1"/>
    </xf>
    <xf numFmtId="4" fontId="1" fillId="0" borderId="47" xfId="0" applyNumberFormat="1" applyFont="1" applyBorder="1" applyAlignment="1">
      <alignment horizontal="center" vertical="center"/>
    </xf>
    <xf numFmtId="0" fontId="3" fillId="0" borderId="77" xfId="0" applyFont="1" applyBorder="1" applyAlignment="1" applyProtection="1">
      <alignment horizontal="center" vertical="center" wrapText="1"/>
      <protection hidden="1"/>
    </xf>
    <xf numFmtId="0" fontId="23" fillId="0" borderId="77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2" fontId="0" fillId="0" borderId="0" xfId="0" applyNumberFormat="1"/>
    <xf numFmtId="0" fontId="14" fillId="0" borderId="2" xfId="0" applyFont="1" applyBorder="1" applyAlignment="1">
      <alignment horizontal="justify" vertical="top" wrapText="1"/>
    </xf>
    <xf numFmtId="0" fontId="15" fillId="0" borderId="2" xfId="0" applyFont="1" applyBorder="1" applyAlignment="1">
      <alignment horizontal="justify" vertical="top" wrapText="1"/>
    </xf>
    <xf numFmtId="0" fontId="15" fillId="0" borderId="6" xfId="0" applyFont="1" applyBorder="1" applyAlignment="1">
      <alignment horizontal="justify" vertical="top" wrapText="1"/>
    </xf>
    <xf numFmtId="0" fontId="14" fillId="8" borderId="2" xfId="0" applyFont="1" applyFill="1" applyBorder="1" applyAlignment="1">
      <alignment horizontal="justify" vertical="top" wrapText="1"/>
    </xf>
    <xf numFmtId="0" fontId="15" fillId="8" borderId="2" xfId="0" applyFont="1" applyFill="1" applyBorder="1" applyAlignment="1">
      <alignment horizontal="justify" vertical="top" wrapText="1"/>
    </xf>
    <xf numFmtId="0" fontId="31" fillId="0" borderId="28" xfId="0" applyFont="1" applyBorder="1" applyAlignment="1">
      <alignment horizontal="center" vertical="center"/>
    </xf>
    <xf numFmtId="4" fontId="0" fillId="0" borderId="0" xfId="0" applyNumberFormat="1"/>
    <xf numFmtId="0" fontId="29" fillId="0" borderId="28" xfId="0" applyFont="1" applyBorder="1"/>
    <xf numFmtId="0" fontId="0" fillId="0" borderId="28" xfId="0" applyBorder="1"/>
    <xf numFmtId="0" fontId="29" fillId="0" borderId="28" xfId="0" applyFont="1" applyBorder="1" applyAlignment="1">
      <alignment horizontal="center"/>
    </xf>
    <xf numFmtId="0" fontId="0" fillId="0" borderId="39" xfId="0" applyBorder="1"/>
    <xf numFmtId="2" fontId="0" fillId="0" borderId="74" xfId="0" applyNumberFormat="1" applyBorder="1"/>
    <xf numFmtId="2" fontId="0" fillId="0" borderId="38" xfId="0" applyNumberFormat="1" applyBorder="1"/>
    <xf numFmtId="0" fontId="24" fillId="0" borderId="0" xfId="0" applyFont="1" applyAlignment="1">
      <alignment horizontal="center"/>
    </xf>
    <xf numFmtId="0" fontId="29" fillId="0" borderId="17" xfId="0" applyFont="1" applyBorder="1" applyAlignment="1">
      <alignment horizontal="center"/>
    </xf>
    <xf numFmtId="0" fontId="29" fillId="0" borderId="18" xfId="0" applyFont="1" applyBorder="1" applyAlignment="1">
      <alignment horizontal="center"/>
    </xf>
    <xf numFmtId="4" fontId="0" fillId="0" borderId="38" xfId="0" applyNumberFormat="1" applyBorder="1" applyAlignment="1">
      <alignment horizontal="center"/>
    </xf>
    <xf numFmtId="4" fontId="0" fillId="0" borderId="84" xfId="0" applyNumberFormat="1" applyBorder="1" applyAlignment="1">
      <alignment horizontal="center"/>
    </xf>
    <xf numFmtId="4" fontId="0" fillId="0" borderId="36" xfId="0" applyNumberFormat="1" applyBorder="1" applyAlignment="1">
      <alignment horizontal="center"/>
    </xf>
    <xf numFmtId="0" fontId="0" fillId="0" borderId="47" xfId="0" applyBorder="1" applyAlignment="1">
      <alignment horizontal="center"/>
    </xf>
    <xf numFmtId="2" fontId="30" fillId="0" borderId="28" xfId="0" applyNumberFormat="1" applyFont="1" applyBorder="1" applyAlignment="1" applyProtection="1">
      <alignment horizontal="center" vertical="center"/>
      <protection hidden="1"/>
    </xf>
    <xf numFmtId="4" fontId="0" fillId="0" borderId="77" xfId="0" applyNumberFormat="1" applyBorder="1" applyAlignment="1">
      <alignment horizontal="center"/>
    </xf>
    <xf numFmtId="4" fontId="0" fillId="0" borderId="74" xfId="0" applyNumberFormat="1" applyBorder="1" applyAlignment="1">
      <alignment horizontal="center"/>
    </xf>
    <xf numFmtId="0" fontId="0" fillId="0" borderId="40" xfId="0" applyBorder="1" applyAlignment="1">
      <alignment horizontal="center"/>
    </xf>
    <xf numFmtId="2" fontId="22" fillId="0" borderId="28" xfId="0" applyNumberFormat="1" applyFont="1" applyBorder="1"/>
    <xf numFmtId="0" fontId="8" fillId="0" borderId="0" xfId="0" applyFont="1"/>
    <xf numFmtId="0" fontId="29" fillId="0" borderId="9" xfId="0" applyFont="1" applyBorder="1"/>
    <xf numFmtId="0" fontId="19" fillId="0" borderId="0" xfId="0" applyFont="1"/>
    <xf numFmtId="0" fontId="0" fillId="0" borderId="0" xfId="0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8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/>
    </xf>
    <xf numFmtId="0" fontId="0" fillId="0" borderId="38" xfId="0" applyBorder="1"/>
    <xf numFmtId="0" fontId="17" fillId="0" borderId="31" xfId="0" applyFont="1" applyBorder="1" applyAlignment="1">
      <alignment horizontal="center"/>
    </xf>
    <xf numFmtId="4" fontId="30" fillId="0" borderId="31" xfId="2" applyNumberFormat="1" applyFont="1" applyBorder="1" applyAlignment="1" applyProtection="1">
      <alignment horizontal="center" vertical="center"/>
      <protection hidden="1"/>
    </xf>
    <xf numFmtId="4" fontId="30" fillId="0" borderId="61" xfId="2" applyNumberFormat="1" applyFont="1" applyBorder="1" applyAlignment="1" applyProtection="1">
      <alignment horizontal="center" vertical="center"/>
      <protection hidden="1"/>
    </xf>
    <xf numFmtId="4" fontId="30" fillId="0" borderId="28" xfId="0" applyNumberFormat="1" applyFont="1" applyBorder="1" applyAlignment="1">
      <alignment horizontal="center" vertical="center"/>
    </xf>
    <xf numFmtId="4" fontId="30" fillId="0" borderId="31" xfId="0" applyNumberFormat="1" applyFont="1" applyBorder="1" applyAlignment="1" applyProtection="1">
      <alignment horizontal="center" vertical="center"/>
      <protection hidden="1"/>
    </xf>
    <xf numFmtId="0" fontId="0" fillId="0" borderId="77" xfId="0" applyBorder="1" applyAlignment="1">
      <alignment horizontal="center"/>
    </xf>
    <xf numFmtId="3" fontId="19" fillId="9" borderId="47" xfId="0" applyNumberFormat="1" applyFont="1" applyFill="1" applyBorder="1" applyAlignment="1">
      <alignment horizontal="center" vertical="center"/>
    </xf>
    <xf numFmtId="0" fontId="19" fillId="9" borderId="36" xfId="0" applyFont="1" applyFill="1" applyBorder="1" applyAlignment="1">
      <alignment horizontal="center" vertical="center"/>
    </xf>
    <xf numFmtId="3" fontId="19" fillId="9" borderId="23" xfId="0" applyNumberFormat="1" applyFont="1" applyFill="1" applyBorder="1" applyAlignment="1">
      <alignment horizontal="center" vertical="center"/>
    </xf>
    <xf numFmtId="3" fontId="19" fillId="9" borderId="28" xfId="0" applyNumberFormat="1" applyFont="1" applyFill="1" applyBorder="1" applyAlignment="1">
      <alignment horizontal="center" vertical="center"/>
    </xf>
    <xf numFmtId="3" fontId="19" fillId="9" borderId="38" xfId="0" applyNumberFormat="1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4" fontId="0" fillId="0" borderId="28" xfId="0" applyNumberFormat="1" applyBorder="1"/>
    <xf numFmtId="2" fontId="0" fillId="0" borderId="14" xfId="0" applyNumberFormat="1" applyBorder="1"/>
    <xf numFmtId="4" fontId="0" fillId="0" borderId="23" xfId="0" applyNumberFormat="1" applyBorder="1"/>
    <xf numFmtId="4" fontId="0" fillId="0" borderId="22" xfId="0" applyNumberFormat="1" applyBorder="1"/>
    <xf numFmtId="0" fontId="0" fillId="0" borderId="74" xfId="0" applyBorder="1"/>
    <xf numFmtId="0" fontId="0" fillId="0" borderId="39" xfId="0" applyBorder="1" applyAlignment="1">
      <alignment horizontal="center"/>
    </xf>
    <xf numFmtId="0" fontId="0" fillId="0" borderId="72" xfId="0" applyBorder="1" applyAlignment="1">
      <alignment horizontal="center"/>
    </xf>
    <xf numFmtId="0" fontId="53" fillId="0" borderId="28" xfId="0" applyFont="1" applyBorder="1"/>
    <xf numFmtId="4" fontId="53" fillId="0" borderId="28" xfId="0" applyNumberFormat="1" applyFont="1" applyBorder="1"/>
    <xf numFmtId="2" fontId="53" fillId="0" borderId="28" xfId="0" applyNumberFormat="1" applyFont="1" applyBorder="1"/>
    <xf numFmtId="0" fontId="53" fillId="0" borderId="28" xfId="0" applyFont="1" applyBorder="1" applyAlignment="1">
      <alignment horizontal="center" vertical="center"/>
    </xf>
    <xf numFmtId="0" fontId="0" fillId="0" borderId="26" xfId="0" applyBorder="1" applyAlignment="1">
      <alignment horizontal="center"/>
    </xf>
    <xf numFmtId="4" fontId="32" fillId="0" borderId="9" xfId="0" applyNumberFormat="1" applyFont="1" applyBorder="1" applyAlignment="1">
      <alignment horizontal="center"/>
    </xf>
    <xf numFmtId="4" fontId="22" fillId="0" borderId="75" xfId="0" applyNumberFormat="1" applyFont="1" applyBorder="1"/>
    <xf numFmtId="2" fontId="22" fillId="0" borderId="38" xfId="0" applyNumberFormat="1" applyFont="1" applyBorder="1"/>
    <xf numFmtId="0" fontId="8" fillId="0" borderId="28" xfId="0" applyFont="1" applyBorder="1" applyAlignment="1" applyProtection="1">
      <alignment horizontal="left" vertical="center"/>
      <protection hidden="1"/>
    </xf>
    <xf numFmtId="2" fontId="16" fillId="0" borderId="28" xfId="0" applyNumberFormat="1" applyFont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/>
      <protection hidden="1"/>
    </xf>
    <xf numFmtId="0" fontId="18" fillId="0" borderId="28" xfId="0" applyFont="1" applyBorder="1" applyAlignment="1" applyProtection="1">
      <alignment horizontal="left" vertical="center" wrapText="1"/>
      <protection hidden="1"/>
    </xf>
    <xf numFmtId="0" fontId="18" fillId="0" borderId="28" xfId="0" applyFont="1" applyBorder="1" applyAlignment="1" applyProtection="1">
      <alignment horizontal="left" vertical="center"/>
      <protection hidden="1"/>
    </xf>
    <xf numFmtId="0" fontId="18" fillId="0" borderId="28" xfId="0" applyFont="1" applyBorder="1" applyAlignment="1" applyProtection="1">
      <alignment horizontal="left" wrapText="1"/>
      <protection hidden="1"/>
    </xf>
    <xf numFmtId="0" fontId="16" fillId="0" borderId="28" xfId="0" applyFont="1" applyBorder="1" applyAlignment="1" applyProtection="1">
      <alignment horizontal="center" vertical="center"/>
      <protection locked="0"/>
    </xf>
    <xf numFmtId="165" fontId="0" fillId="0" borderId="0" xfId="2" applyFont="1"/>
    <xf numFmtId="171" fontId="29" fillId="0" borderId="87" xfId="0" applyNumberFormat="1" applyFont="1" applyBorder="1"/>
    <xf numFmtId="0" fontId="4" fillId="0" borderId="28" xfId="0" applyFont="1" applyBorder="1" applyAlignment="1">
      <alignment horizontal="center" vertical="center"/>
    </xf>
    <xf numFmtId="4" fontId="22" fillId="4" borderId="8" xfId="0" applyNumberFormat="1" applyFont="1" applyFill="1" applyBorder="1" applyAlignment="1">
      <alignment horizontal="left"/>
    </xf>
    <xf numFmtId="4" fontId="22" fillId="4" borderId="11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28" xfId="0" applyFont="1" applyBorder="1" applyAlignment="1" applyProtection="1">
      <alignment horizontal="center" vertical="center"/>
      <protection hidden="1"/>
    </xf>
    <xf numFmtId="0" fontId="0" fillId="0" borderId="28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4" fontId="0" fillId="0" borderId="28" xfId="0" applyNumberFormat="1" applyBorder="1" applyAlignment="1">
      <alignment horizontal="center" vertical="center"/>
    </xf>
    <xf numFmtId="4" fontId="0" fillId="0" borderId="28" xfId="0" applyNumberFormat="1" applyBorder="1" applyAlignment="1">
      <alignment horizontal="center"/>
    </xf>
    <xf numFmtId="165" fontId="0" fillId="0" borderId="28" xfId="2" applyFont="1" applyBorder="1" applyAlignment="1">
      <alignment horizontal="center"/>
    </xf>
    <xf numFmtId="0" fontId="2" fillId="0" borderId="28" xfId="0" applyFont="1" applyBorder="1" applyAlignment="1" applyProtection="1">
      <alignment horizontal="center" vertical="center" wrapText="1"/>
      <protection hidden="1"/>
    </xf>
    <xf numFmtId="0" fontId="2" fillId="0" borderId="39" xfId="0" applyFont="1" applyBorder="1" applyAlignment="1" applyProtection="1">
      <alignment vertical="center"/>
      <protection hidden="1"/>
    </xf>
    <xf numFmtId="0" fontId="8" fillId="0" borderId="39" xfId="0" applyFont="1" applyBorder="1" applyAlignment="1" applyProtection="1">
      <alignment horizontal="center" vertical="center"/>
      <protection hidden="1"/>
    </xf>
    <xf numFmtId="0" fontId="8" fillId="0" borderId="38" xfId="0" applyFont="1" applyBorder="1" applyAlignment="1" applyProtection="1">
      <alignment horizontal="center" vertical="center"/>
      <protection hidden="1"/>
    </xf>
    <xf numFmtId="0" fontId="16" fillId="0" borderId="39" xfId="0" applyFont="1" applyBorder="1" applyAlignment="1" applyProtection="1">
      <alignment horizontal="center" vertical="center"/>
      <protection hidden="1"/>
    </xf>
    <xf numFmtId="0" fontId="16" fillId="0" borderId="38" xfId="0" applyFont="1" applyBorder="1" applyAlignment="1" applyProtection="1">
      <alignment horizontal="center" vertical="center"/>
      <protection hidden="1"/>
    </xf>
    <xf numFmtId="0" fontId="0" fillId="0" borderId="79" xfId="0" applyBorder="1" applyProtection="1">
      <protection hidden="1"/>
    </xf>
    <xf numFmtId="0" fontId="0" fillId="0" borderId="47" xfId="0" applyBorder="1" applyAlignment="1" applyProtection="1">
      <alignment horizontal="center"/>
      <protection hidden="1"/>
    </xf>
    <xf numFmtId="0" fontId="0" fillId="0" borderId="47" xfId="0" applyBorder="1" applyProtection="1">
      <protection hidden="1"/>
    </xf>
    <xf numFmtId="0" fontId="0" fillId="0" borderId="36" xfId="0" applyBorder="1" applyProtection="1">
      <protection hidden="1"/>
    </xf>
    <xf numFmtId="0" fontId="26" fillId="0" borderId="0" xfId="0" applyFont="1" applyAlignment="1">
      <alignment horizontal="right" wrapText="1"/>
    </xf>
    <xf numFmtId="0" fontId="26" fillId="0" borderId="14" xfId="0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0" fillId="0" borderId="24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center"/>
    </xf>
    <xf numFmtId="0" fontId="7" fillId="2" borderId="66" xfId="0" applyFont="1" applyFill="1" applyBorder="1" applyAlignment="1" applyProtection="1">
      <alignment horizontal="center" vertical="center"/>
      <protection hidden="1"/>
    </xf>
    <xf numFmtId="0" fontId="7" fillId="2" borderId="29" xfId="0" applyFont="1" applyFill="1" applyBorder="1" applyAlignment="1" applyProtection="1">
      <alignment horizontal="center" vertical="center"/>
      <protection hidden="1"/>
    </xf>
    <xf numFmtId="0" fontId="7" fillId="2" borderId="33" xfId="0" applyFont="1" applyFill="1" applyBorder="1" applyAlignment="1" applyProtection="1">
      <alignment horizontal="center" vertical="center"/>
      <protection hidden="1"/>
    </xf>
    <xf numFmtId="0" fontId="7" fillId="2" borderId="30" xfId="0" applyFont="1" applyFill="1" applyBorder="1" applyAlignment="1" applyProtection="1">
      <alignment horizontal="center" vertical="center"/>
      <protection hidden="1"/>
    </xf>
    <xf numFmtId="0" fontId="56" fillId="0" borderId="0" xfId="0" applyFont="1"/>
    <xf numFmtId="0" fontId="64" fillId="0" borderId="28" xfId="0" applyFont="1" applyBorder="1" applyAlignment="1" applyProtection="1">
      <alignment horizontal="center" vertical="center" wrapText="1"/>
      <protection hidden="1"/>
    </xf>
    <xf numFmtId="9" fontId="63" fillId="0" borderId="28" xfId="0" applyNumberFormat="1" applyFont="1" applyBorder="1" applyAlignment="1">
      <alignment horizontal="center" vertical="center" wrapText="1"/>
    </xf>
    <xf numFmtId="0" fontId="63" fillId="0" borderId="28" xfId="0" applyFont="1" applyBorder="1" applyAlignment="1">
      <alignment horizontal="center" vertical="center" wrapText="1"/>
    </xf>
    <xf numFmtId="9" fontId="58" fillId="0" borderId="28" xfId="1" applyFont="1" applyFill="1" applyBorder="1" applyAlignment="1" applyProtection="1">
      <alignment horizontal="center" vertical="center"/>
    </xf>
    <xf numFmtId="9" fontId="58" fillId="0" borderId="28" xfId="0" applyNumberFormat="1" applyFont="1" applyBorder="1" applyAlignment="1">
      <alignment horizontal="center" vertical="center"/>
    </xf>
    <xf numFmtId="9" fontId="56" fillId="0" borderId="28" xfId="0" applyNumberFormat="1" applyFont="1" applyBorder="1"/>
    <xf numFmtId="0" fontId="56" fillId="0" borderId="28" xfId="0" applyFont="1" applyBorder="1"/>
    <xf numFmtId="0" fontId="56" fillId="0" borderId="28" xfId="0" applyFont="1" applyBorder="1" applyAlignment="1">
      <alignment horizontal="center"/>
    </xf>
    <xf numFmtId="0" fontId="14" fillId="6" borderId="28" xfId="0" applyFont="1" applyFill="1" applyBorder="1" applyAlignment="1">
      <alignment horizontal="center" vertical="center"/>
    </xf>
    <xf numFmtId="0" fontId="58" fillId="0" borderId="28" xfId="0" applyFont="1" applyBorder="1" applyAlignment="1">
      <alignment horizontal="center" vertical="center"/>
    </xf>
    <xf numFmtId="0" fontId="14" fillId="0" borderId="28" xfId="0" applyFont="1" applyBorder="1" applyAlignment="1">
      <alignment vertical="center"/>
    </xf>
    <xf numFmtId="0" fontId="11" fillId="0" borderId="28" xfId="0" applyFont="1" applyBorder="1" applyAlignment="1">
      <alignment horizontal="center" vertical="center"/>
    </xf>
    <xf numFmtId="9" fontId="58" fillId="4" borderId="28" xfId="1" applyFont="1" applyFill="1" applyBorder="1" applyAlignment="1" applyProtection="1">
      <alignment horizontal="center" vertical="center"/>
      <protection locked="0"/>
    </xf>
    <xf numFmtId="9" fontId="58" fillId="4" borderId="28" xfId="0" applyNumberFormat="1" applyFont="1" applyFill="1" applyBorder="1" applyAlignment="1" applyProtection="1">
      <alignment horizontal="center" vertical="center"/>
      <protection locked="0"/>
    </xf>
    <xf numFmtId="9" fontId="58" fillId="0" borderId="28" xfId="0" applyNumberFormat="1" applyFont="1" applyBorder="1" applyAlignment="1" applyProtection="1">
      <alignment horizontal="center" vertical="center"/>
      <protection locked="0"/>
    </xf>
    <xf numFmtId="0" fontId="59" fillId="0" borderId="28" xfId="0" applyFont="1" applyBorder="1" applyAlignment="1">
      <alignment horizontal="center"/>
    </xf>
    <xf numFmtId="0" fontId="58" fillId="0" borderId="38" xfId="0" applyFont="1" applyBorder="1" applyAlignment="1">
      <alignment horizontal="center" vertical="center"/>
    </xf>
    <xf numFmtId="0" fontId="56" fillId="0" borderId="38" xfId="0" applyFont="1" applyBorder="1"/>
    <xf numFmtId="0" fontId="58" fillId="0" borderId="39" xfId="0" applyFont="1" applyBorder="1" applyAlignment="1">
      <alignment vertical="center"/>
    </xf>
    <xf numFmtId="0" fontId="59" fillId="0" borderId="39" xfId="0" applyFont="1" applyBorder="1" applyAlignment="1">
      <alignment horizontal="center"/>
    </xf>
    <xf numFmtId="0" fontId="58" fillId="0" borderId="39" xfId="0" applyFont="1" applyBorder="1" applyAlignment="1" applyProtection="1">
      <alignment horizontal="center" vertical="center"/>
      <protection hidden="1"/>
    </xf>
    <xf numFmtId="0" fontId="63" fillId="0" borderId="38" xfId="0" applyFont="1" applyBorder="1" applyAlignment="1">
      <alignment horizontal="center" vertical="center" wrapText="1"/>
    </xf>
    <xf numFmtId="0" fontId="58" fillId="0" borderId="39" xfId="0" applyFont="1" applyBorder="1" applyAlignment="1" applyProtection="1">
      <alignment horizontal="center" vertical="center" wrapText="1"/>
      <protection hidden="1"/>
    </xf>
    <xf numFmtId="0" fontId="58" fillId="0" borderId="79" xfId="0" applyFont="1" applyBorder="1" applyAlignment="1" applyProtection="1">
      <alignment horizontal="center" vertical="center"/>
      <protection hidden="1"/>
    </xf>
    <xf numFmtId="9" fontId="58" fillId="0" borderId="47" xfId="1" applyFont="1" applyFill="1" applyBorder="1" applyAlignment="1" applyProtection="1">
      <alignment horizontal="center" vertical="center"/>
    </xf>
    <xf numFmtId="9" fontId="58" fillId="0" borderId="47" xfId="0" applyNumberFormat="1" applyFont="1" applyBorder="1" applyAlignment="1">
      <alignment horizontal="center" vertical="center"/>
    </xf>
    <xf numFmtId="9" fontId="56" fillId="0" borderId="47" xfId="0" applyNumberFormat="1" applyFont="1" applyBorder="1"/>
    <xf numFmtId="0" fontId="56" fillId="0" borderId="47" xfId="0" applyFont="1" applyBorder="1"/>
    <xf numFmtId="0" fontId="56" fillId="0" borderId="36" xfId="0" applyFont="1" applyBorder="1"/>
    <xf numFmtId="0" fontId="56" fillId="0" borderId="9" xfId="0" applyFont="1" applyBorder="1"/>
    <xf numFmtId="0" fontId="56" fillId="0" borderId="28" xfId="0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4" fontId="69" fillId="0" borderId="28" xfId="0" applyNumberFormat="1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60" fillId="0" borderId="38" xfId="0" applyFont="1" applyBorder="1" applyAlignment="1">
      <alignment horizontal="center"/>
    </xf>
    <xf numFmtId="0" fontId="56" fillId="0" borderId="0" xfId="0" applyFont="1" applyAlignment="1">
      <alignment horizontal="left" vertical="center"/>
    </xf>
    <xf numFmtId="0" fontId="56" fillId="0" borderId="40" xfId="0" applyFont="1" applyBorder="1" applyAlignment="1">
      <alignment horizontal="center" vertical="center"/>
    </xf>
    <xf numFmtId="0" fontId="56" fillId="0" borderId="41" xfId="0" applyFont="1" applyBorder="1" applyAlignment="1">
      <alignment horizontal="center" vertical="center"/>
    </xf>
    <xf numFmtId="0" fontId="56" fillId="0" borderId="38" xfId="0" applyFont="1" applyBorder="1" applyAlignment="1">
      <alignment horizontal="center" vertical="center"/>
    </xf>
    <xf numFmtId="0" fontId="56" fillId="0" borderId="25" xfId="0" applyFont="1" applyBorder="1" applyAlignment="1">
      <alignment horizontal="center" vertical="center"/>
    </xf>
    <xf numFmtId="0" fontId="56" fillId="0" borderId="46" xfId="0" applyFont="1" applyBorder="1" applyAlignment="1">
      <alignment horizontal="center" vertical="center"/>
    </xf>
    <xf numFmtId="0" fontId="0" fillId="0" borderId="96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7" fillId="0" borderId="70" xfId="0" applyFont="1" applyBorder="1" applyAlignment="1">
      <alignment horizontal="center" vertical="center"/>
    </xf>
    <xf numFmtId="0" fontId="32" fillId="9" borderId="67" xfId="0" applyFont="1" applyFill="1" applyBorder="1"/>
    <xf numFmtId="0" fontId="31" fillId="0" borderId="28" xfId="0" applyFont="1" applyBorder="1" applyAlignment="1">
      <alignment horizontal="left" vertical="center"/>
    </xf>
    <xf numFmtId="166" fontId="4" fillId="0" borderId="28" xfId="0" applyNumberFormat="1" applyFont="1" applyBorder="1" applyAlignment="1" applyProtection="1">
      <alignment horizontal="center" vertical="center"/>
      <protection hidden="1"/>
    </xf>
    <xf numFmtId="0" fontId="61" fillId="0" borderId="28" xfId="0" applyFont="1" applyBorder="1" applyAlignment="1" applyProtection="1">
      <alignment horizontal="center" vertical="center"/>
      <protection hidden="1"/>
    </xf>
    <xf numFmtId="167" fontId="61" fillId="0" borderId="28" xfId="0" applyNumberFormat="1" applyFont="1" applyBorder="1" applyAlignment="1" applyProtection="1">
      <alignment horizontal="center" vertical="center"/>
      <protection hidden="1"/>
    </xf>
    <xf numFmtId="0" fontId="61" fillId="4" borderId="28" xfId="0" applyFont="1" applyFill="1" applyBorder="1" applyAlignment="1" applyProtection="1">
      <alignment horizontal="center" vertical="center"/>
      <protection hidden="1"/>
    </xf>
    <xf numFmtId="165" fontId="71" fillId="0" borderId="28" xfId="0" applyNumberFormat="1" applyFont="1" applyBorder="1" applyAlignment="1" applyProtection="1">
      <alignment vertical="center"/>
      <protection locked="0"/>
    </xf>
    <xf numFmtId="165" fontId="61" fillId="0" borderId="28" xfId="0" applyNumberFormat="1" applyFont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left" vertical="center" wrapText="1"/>
      <protection hidden="1"/>
    </xf>
    <xf numFmtId="0" fontId="4" fillId="0" borderId="28" xfId="0" applyFont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left" vertical="center"/>
      <protection hidden="1"/>
    </xf>
    <xf numFmtId="0" fontId="60" fillId="0" borderId="0" xfId="0" applyFont="1" applyAlignment="1">
      <alignment vertical="center"/>
    </xf>
    <xf numFmtId="0" fontId="56" fillId="0" borderId="39" xfId="0" applyFont="1" applyBorder="1"/>
    <xf numFmtId="0" fontId="60" fillId="0" borderId="28" xfId="0" applyFont="1" applyBorder="1"/>
    <xf numFmtId="0" fontId="60" fillId="0" borderId="28" xfId="0" applyFont="1" applyBorder="1" applyAlignment="1">
      <alignment horizontal="center"/>
    </xf>
    <xf numFmtId="0" fontId="60" fillId="0" borderId="39" xfId="0" applyFont="1" applyBorder="1"/>
    <xf numFmtId="2" fontId="56" fillId="0" borderId="28" xfId="0" applyNumberFormat="1" applyFont="1" applyBorder="1"/>
    <xf numFmtId="0" fontId="56" fillId="0" borderId="79" xfId="0" applyFont="1" applyBorder="1"/>
    <xf numFmtId="0" fontId="56" fillId="0" borderId="47" xfId="0" applyFont="1" applyBorder="1" applyAlignment="1">
      <alignment horizontal="center"/>
    </xf>
    <xf numFmtId="2" fontId="56" fillId="0" borderId="47" xfId="0" applyNumberFormat="1" applyFont="1" applyBorder="1"/>
    <xf numFmtId="0" fontId="55" fillId="4" borderId="84" xfId="0" applyFont="1" applyFill="1" applyBorder="1" applyAlignment="1" applyProtection="1">
      <alignment horizontal="center" vertical="center"/>
      <protection hidden="1"/>
    </xf>
    <xf numFmtId="0" fontId="56" fillId="0" borderId="39" xfId="0" applyFont="1" applyBorder="1" applyAlignment="1">
      <alignment horizontal="center" vertical="center"/>
    </xf>
    <xf numFmtId="165" fontId="4" fillId="0" borderId="38" xfId="2" applyFont="1" applyFill="1" applyBorder="1" applyAlignment="1" applyProtection="1">
      <alignment horizontal="center" vertical="center"/>
      <protection hidden="1"/>
    </xf>
    <xf numFmtId="165" fontId="59" fillId="0" borderId="38" xfId="2" applyFont="1" applyBorder="1" applyAlignment="1" applyProtection="1">
      <alignment horizontal="left" vertical="center"/>
      <protection hidden="1"/>
    </xf>
    <xf numFmtId="165" fontId="72" fillId="0" borderId="38" xfId="2" applyFont="1" applyBorder="1" applyAlignment="1" applyProtection="1">
      <alignment horizontal="right" vertical="center" wrapText="1"/>
      <protection hidden="1"/>
    </xf>
    <xf numFmtId="0" fontId="60" fillId="0" borderId="47" xfId="0" applyFont="1" applyBorder="1"/>
    <xf numFmtId="43" fontId="60" fillId="0" borderId="47" xfId="0" applyNumberFormat="1" applyFont="1" applyBorder="1" applyAlignment="1">
      <alignment vertical="center"/>
    </xf>
    <xf numFmtId="2" fontId="56" fillId="0" borderId="38" xfId="0" applyNumberFormat="1" applyFont="1" applyBorder="1" applyAlignment="1">
      <alignment horizontal="center" vertical="center"/>
    </xf>
    <xf numFmtId="2" fontId="60" fillId="0" borderId="38" xfId="0" applyNumberFormat="1" applyFont="1" applyBorder="1" applyAlignment="1">
      <alignment horizontal="center" vertical="center"/>
    </xf>
    <xf numFmtId="2" fontId="60" fillId="0" borderId="38" xfId="0" applyNumberFormat="1" applyFont="1" applyBorder="1" applyAlignment="1">
      <alignment horizontal="center"/>
    </xf>
    <xf numFmtId="0" fontId="32" fillId="9" borderId="31" xfId="0" applyFont="1" applyFill="1" applyBorder="1" applyAlignment="1">
      <alignment vertical="center"/>
    </xf>
    <xf numFmtId="0" fontId="10" fillId="6" borderId="62" xfId="0" applyFont="1" applyFill="1" applyBorder="1" applyAlignment="1">
      <alignment horizontal="center" vertical="center"/>
    </xf>
    <xf numFmtId="4" fontId="10" fillId="0" borderId="42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 wrapText="1"/>
    </xf>
    <xf numFmtId="0" fontId="10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vertical="center" wrapText="1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/>
    </xf>
    <xf numFmtId="0" fontId="56" fillId="9" borderId="0" xfId="0" applyFont="1" applyFill="1"/>
    <xf numFmtId="0" fontId="10" fillId="9" borderId="0" xfId="0" applyFont="1" applyFill="1" applyAlignment="1">
      <alignment vertical="center" wrapText="1"/>
    </xf>
    <xf numFmtId="0" fontId="31" fillId="9" borderId="0" xfId="0" applyFont="1" applyFill="1" applyAlignment="1">
      <alignment horizontal="center" vertical="center"/>
    </xf>
    <xf numFmtId="0" fontId="56" fillId="9" borderId="0" xfId="0" applyFont="1" applyFill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4" fontId="48" fillId="24" borderId="0" xfId="0" applyNumberFormat="1" applyFont="1" applyFill="1" applyAlignment="1">
      <alignment horizontal="center" vertical="center" wrapText="1"/>
    </xf>
    <xf numFmtId="4" fontId="48" fillId="0" borderId="0" xfId="0" applyNumberFormat="1" applyFont="1" applyAlignment="1">
      <alignment horizontal="center" vertical="center" wrapText="1"/>
    </xf>
    <xf numFmtId="1" fontId="3" fillId="0" borderId="38" xfId="0" applyNumberFormat="1" applyFont="1" applyBorder="1" applyAlignment="1" applyProtection="1">
      <alignment horizontal="center" vertical="center"/>
      <protection hidden="1"/>
    </xf>
    <xf numFmtId="0" fontId="73" fillId="0" borderId="39" xfId="0" applyFont="1" applyBorder="1" applyAlignment="1" applyProtection="1">
      <alignment horizontal="center" vertical="center"/>
      <protection hidden="1"/>
    </xf>
    <xf numFmtId="0" fontId="74" fillId="9" borderId="28" xfId="0" applyFont="1" applyFill="1" applyBorder="1" applyAlignment="1" applyProtection="1">
      <alignment horizontal="center" vertical="center"/>
      <protection hidden="1"/>
    </xf>
    <xf numFmtId="17" fontId="74" fillId="0" borderId="28" xfId="0" applyNumberFormat="1" applyFont="1" applyBorder="1" applyAlignment="1">
      <alignment horizontal="center" vertical="center"/>
    </xf>
    <xf numFmtId="4" fontId="73" fillId="0" borderId="28" xfId="0" applyNumberFormat="1" applyFont="1" applyBorder="1" applyAlignment="1">
      <alignment horizontal="center" vertical="center" wrapText="1"/>
    </xf>
    <xf numFmtId="0" fontId="73" fillId="0" borderId="28" xfId="0" applyFont="1" applyBorder="1" applyAlignment="1">
      <alignment vertical="center" wrapText="1"/>
    </xf>
    <xf numFmtId="0" fontId="73" fillId="0" borderId="38" xfId="0" applyFont="1" applyBorder="1" applyAlignment="1">
      <alignment vertical="center" wrapText="1"/>
    </xf>
    <xf numFmtId="0" fontId="7" fillId="2" borderId="98" xfId="0" applyFont="1" applyFill="1" applyBorder="1" applyAlignment="1" applyProtection="1">
      <alignment horizontal="center" vertical="center"/>
      <protection hidden="1"/>
    </xf>
    <xf numFmtId="0" fontId="0" fillId="0" borderId="99" xfId="0" applyBorder="1" applyAlignment="1">
      <alignment horizontal="center" vertical="center"/>
    </xf>
    <xf numFmtId="0" fontId="0" fillId="0" borderId="100" xfId="0" applyBorder="1" applyAlignment="1" applyProtection="1">
      <alignment horizontal="center" vertical="center" wrapText="1"/>
      <protection hidden="1"/>
    </xf>
    <xf numFmtId="0" fontId="0" fillId="0" borderId="101" xfId="0" applyBorder="1" applyAlignment="1" applyProtection="1">
      <alignment horizontal="center" vertical="center" wrapText="1"/>
      <protection hidden="1"/>
    </xf>
    <xf numFmtId="0" fontId="32" fillId="9" borderId="67" xfId="0" applyFont="1" applyFill="1" applyBorder="1" applyAlignment="1">
      <alignment vertical="center"/>
    </xf>
    <xf numFmtId="165" fontId="75" fillId="0" borderId="28" xfId="0" applyNumberFormat="1" applyFont="1" applyBorder="1" applyAlignment="1" applyProtection="1">
      <alignment vertical="center"/>
      <protection locked="0"/>
    </xf>
    <xf numFmtId="0" fontId="76" fillId="0" borderId="0" xfId="0" applyFont="1"/>
    <xf numFmtId="0" fontId="0" fillId="0" borderId="31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0" xfId="0" applyAlignment="1">
      <alignment wrapText="1"/>
    </xf>
    <xf numFmtId="2" fontId="32" fillId="4" borderId="28" xfId="0" applyNumberFormat="1" applyFont="1" applyFill="1" applyBorder="1" applyAlignment="1">
      <alignment horizontal="center"/>
    </xf>
    <xf numFmtId="4" fontId="19" fillId="0" borderId="28" xfId="0" applyNumberFormat="1" applyFont="1" applyBorder="1" applyAlignment="1">
      <alignment horizontal="center"/>
    </xf>
    <xf numFmtId="4" fontId="76" fillId="0" borderId="0" xfId="0" applyNumberFormat="1" applyFont="1"/>
    <xf numFmtId="170" fontId="76" fillId="0" borderId="0" xfId="0" applyNumberFormat="1" applyFont="1"/>
    <xf numFmtId="0" fontId="10" fillId="0" borderId="28" xfId="0" applyFont="1" applyBorder="1" applyAlignment="1" applyProtection="1">
      <alignment horizontal="center" vertical="center" wrapText="1"/>
      <protection hidden="1"/>
    </xf>
    <xf numFmtId="0" fontId="61" fillId="0" borderId="28" xfId="0" applyFont="1" applyBorder="1" applyAlignment="1">
      <alignment horizontal="left" vertical="center" wrapText="1"/>
    </xf>
    <xf numFmtId="4" fontId="69" fillId="0" borderId="28" xfId="2" applyNumberFormat="1" applyFont="1" applyBorder="1" applyAlignment="1" applyProtection="1">
      <alignment horizontal="center" vertical="center"/>
      <protection hidden="1"/>
    </xf>
    <xf numFmtId="0" fontId="39" fillId="0" borderId="28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/>
    </xf>
    <xf numFmtId="0" fontId="69" fillId="0" borderId="47" xfId="0" applyFont="1" applyBorder="1" applyAlignment="1">
      <alignment vertical="center"/>
    </xf>
    <xf numFmtId="0" fontId="61" fillId="0" borderId="47" xfId="0" applyFont="1" applyBorder="1" applyAlignment="1">
      <alignment vertical="center"/>
    </xf>
    <xf numFmtId="0" fontId="10" fillId="0" borderId="28" xfId="0" applyFont="1" applyBorder="1" applyAlignment="1">
      <alignment horizontal="center" vertical="center"/>
    </xf>
    <xf numFmtId="4" fontId="62" fillId="0" borderId="47" xfId="0" applyNumberFormat="1" applyFont="1" applyBorder="1" applyAlignment="1">
      <alignment horizontal="center" vertical="center"/>
    </xf>
    <xf numFmtId="172" fontId="0" fillId="10" borderId="31" xfId="0" applyNumberFormat="1" applyFill="1" applyBorder="1"/>
    <xf numFmtId="172" fontId="0" fillId="10" borderId="32" xfId="0" applyNumberFormat="1" applyFill="1" applyBorder="1"/>
    <xf numFmtId="0" fontId="0" fillId="9" borderId="0" xfId="0" applyFill="1" applyAlignment="1">
      <alignment horizontal="center"/>
    </xf>
    <xf numFmtId="0" fontId="61" fillId="0" borderId="4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/>
    </xf>
    <xf numFmtId="0" fontId="39" fillId="0" borderId="40" xfId="0" applyFont="1" applyBorder="1" applyAlignment="1" applyProtection="1">
      <alignment horizontal="center" vertical="center"/>
      <protection hidden="1"/>
    </xf>
    <xf numFmtId="0" fontId="1" fillId="0" borderId="38" xfId="0" applyFont="1" applyBorder="1" applyAlignment="1">
      <alignment horizontal="center" vertical="center" wrapText="1"/>
    </xf>
    <xf numFmtId="0" fontId="10" fillId="0" borderId="28" xfId="0" applyFont="1" applyBorder="1" applyAlignment="1">
      <alignment vertical="center" wrapText="1"/>
    </xf>
    <xf numFmtId="0" fontId="16" fillId="0" borderId="38" xfId="0" applyFont="1" applyBorder="1"/>
    <xf numFmtId="0" fontId="10" fillId="0" borderId="47" xfId="0" applyFont="1" applyBorder="1" applyAlignment="1">
      <alignment horizontal="center" wrapText="1"/>
    </xf>
    <xf numFmtId="0" fontId="4" fillId="0" borderId="47" xfId="0" applyFont="1" applyBorder="1" applyAlignment="1">
      <alignment horizontal="center" vertical="center"/>
    </xf>
    <xf numFmtId="0" fontId="10" fillId="0" borderId="28" xfId="0" applyFont="1" applyBorder="1" applyAlignment="1" applyProtection="1">
      <alignment horizontal="center" wrapText="1"/>
      <protection hidden="1"/>
    </xf>
    <xf numFmtId="165" fontId="39" fillId="9" borderId="0" xfId="0" applyNumberFormat="1" applyFont="1" applyFill="1" applyAlignment="1">
      <alignment horizontal="center" vertical="center" wrapText="1"/>
    </xf>
    <xf numFmtId="2" fontId="69" fillId="0" borderId="28" xfId="0" applyNumberFormat="1" applyFont="1" applyBorder="1" applyAlignment="1">
      <alignment horizontal="center" vertical="center" wrapText="1"/>
    </xf>
    <xf numFmtId="4" fontId="48" fillId="9" borderId="28" xfId="0" applyNumberFormat="1" applyFont="1" applyFill="1" applyBorder="1" applyAlignment="1">
      <alignment horizontal="right" vertical="top" wrapText="1"/>
    </xf>
    <xf numFmtId="1" fontId="0" fillId="0" borderId="0" xfId="0" applyNumberFormat="1"/>
    <xf numFmtId="0" fontId="53" fillId="0" borderId="28" xfId="0" applyFont="1" applyBorder="1" applyAlignment="1">
      <alignment horizontal="center"/>
    </xf>
    <xf numFmtId="0" fontId="52" fillId="0" borderId="28" xfId="0" applyFont="1" applyBorder="1"/>
    <xf numFmtId="0" fontId="42" fillId="0" borderId="28" xfId="0" applyFont="1" applyBorder="1" applyAlignment="1">
      <alignment horizontal="center" vertical="center"/>
    </xf>
    <xf numFmtId="4" fontId="68" fillId="0" borderId="38" xfId="0" applyNumberFormat="1" applyFont="1" applyBorder="1" applyAlignment="1">
      <alignment horizontal="center" vertical="center"/>
    </xf>
    <xf numFmtId="2" fontId="22" fillId="4" borderId="38" xfId="0" applyNumberFormat="1" applyFont="1" applyFill="1" applyBorder="1"/>
    <xf numFmtId="4" fontId="16" fillId="0" borderId="28" xfId="0" applyNumberFormat="1" applyFont="1" applyBorder="1" applyAlignment="1">
      <alignment horizontal="center" vertical="center"/>
    </xf>
    <xf numFmtId="2" fontId="0" fillId="0" borderId="47" xfId="0" applyNumberFormat="1" applyBorder="1" applyAlignment="1">
      <alignment horizontal="center" vertical="center"/>
    </xf>
    <xf numFmtId="0" fontId="0" fillId="9" borderId="28" xfId="0" applyFill="1" applyBorder="1"/>
    <xf numFmtId="0" fontId="53" fillId="9" borderId="28" xfId="0" applyFont="1" applyFill="1" applyBorder="1"/>
    <xf numFmtId="166" fontId="16" fillId="0" borderId="28" xfId="0" applyNumberFormat="1" applyFont="1" applyBorder="1" applyAlignment="1">
      <alignment horizontal="center" vertical="center"/>
    </xf>
    <xf numFmtId="0" fontId="22" fillId="0" borderId="0" xfId="0" applyFont="1"/>
    <xf numFmtId="0" fontId="60" fillId="0" borderId="28" xfId="0" applyFont="1" applyBorder="1" applyAlignment="1">
      <alignment horizontal="center" vertical="center"/>
    </xf>
    <xf numFmtId="0" fontId="95" fillId="0" borderId="38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vertical="center"/>
    </xf>
    <xf numFmtId="0" fontId="61" fillId="0" borderId="39" xfId="0" applyFont="1" applyBorder="1" applyAlignment="1">
      <alignment horizontal="center" vertical="center"/>
    </xf>
    <xf numFmtId="0" fontId="61" fillId="0" borderId="79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29" fillId="0" borderId="23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0" fillId="0" borderId="32" xfId="0" applyBorder="1" applyAlignment="1">
      <alignment horizontal="center"/>
    </xf>
    <xf numFmtId="0" fontId="29" fillId="0" borderId="8" xfId="0" applyFont="1" applyBorder="1" applyAlignment="1">
      <alignment horizontal="right"/>
    </xf>
    <xf numFmtId="0" fontId="29" fillId="0" borderId="11" xfId="0" applyFont="1" applyBorder="1" applyAlignment="1">
      <alignment horizontal="center" vertical="center" wrapText="1"/>
    </xf>
    <xf numFmtId="0" fontId="29" fillId="0" borderId="94" xfId="0" applyFont="1" applyBorder="1" applyAlignment="1">
      <alignment horizontal="center" vertical="center"/>
    </xf>
    <xf numFmtId="0" fontId="51" fillId="0" borderId="40" xfId="0" applyFont="1" applyBorder="1" applyAlignment="1">
      <alignment horizontal="center" vertical="center" wrapText="1"/>
    </xf>
    <xf numFmtId="0" fontId="29" fillId="0" borderId="88" xfId="0" applyFont="1" applyBorder="1" applyAlignment="1">
      <alignment horizontal="center" vertical="center" wrapText="1"/>
    </xf>
    <xf numFmtId="0" fontId="51" fillId="0" borderId="23" xfId="0" applyFont="1" applyBorder="1" applyAlignment="1">
      <alignment horizontal="center" vertical="center" wrapText="1"/>
    </xf>
    <xf numFmtId="0" fontId="0" fillId="0" borderId="22" xfId="0" applyBorder="1" applyAlignment="1">
      <alignment vertical="center" wrapText="1"/>
    </xf>
    <xf numFmtId="0" fontId="51" fillId="0" borderId="28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/>
    </xf>
    <xf numFmtId="0" fontId="29" fillId="0" borderId="63" xfId="0" applyFont="1" applyBorder="1" applyAlignment="1">
      <alignment vertical="top" wrapText="1"/>
    </xf>
    <xf numFmtId="0" fontId="0" fillId="0" borderId="23" xfId="0" applyBorder="1" applyAlignment="1">
      <alignment horizontal="center" vertical="top" wrapText="1"/>
    </xf>
    <xf numFmtId="0" fontId="0" fillId="0" borderId="23" xfId="0" applyBorder="1" applyAlignment="1">
      <alignment vertical="top" wrapText="1"/>
    </xf>
    <xf numFmtId="0" fontId="0" fillId="0" borderId="61" xfId="0" applyBorder="1" applyAlignment="1">
      <alignment horizontal="center"/>
    </xf>
    <xf numFmtId="4" fontId="54" fillId="9" borderId="0" xfId="0" applyNumberFormat="1" applyFont="1" applyFill="1"/>
    <xf numFmtId="4" fontId="52" fillId="9" borderId="28" xfId="0" applyNumberFormat="1" applyFont="1" applyFill="1" applyBorder="1"/>
    <xf numFmtId="0" fontId="26" fillId="0" borderId="0" xfId="0" applyFont="1" applyAlignment="1">
      <alignment horizontal="center"/>
    </xf>
    <xf numFmtId="172" fontId="0" fillId="0" borderId="0" xfId="0" applyNumberFormat="1"/>
    <xf numFmtId="4" fontId="0" fillId="9" borderId="0" xfId="0" applyNumberFormat="1" applyFill="1"/>
    <xf numFmtId="0" fontId="7" fillId="0" borderId="28" xfId="0" applyFont="1" applyBorder="1" applyAlignment="1" applyProtection="1">
      <alignment horizontal="center" vertical="center"/>
      <protection hidden="1"/>
    </xf>
    <xf numFmtId="0" fontId="42" fillId="9" borderId="28" xfId="0" applyFont="1" applyFill="1" applyBorder="1" applyAlignment="1">
      <alignment horizontal="center" vertical="center"/>
    </xf>
    <xf numFmtId="4" fontId="53" fillId="9" borderId="28" xfId="0" applyNumberFormat="1" applyFont="1" applyFill="1" applyBorder="1"/>
    <xf numFmtId="0" fontId="53" fillId="9" borderId="28" xfId="0" applyFont="1" applyFill="1" applyBorder="1" applyAlignment="1">
      <alignment horizontal="center" vertical="center"/>
    </xf>
    <xf numFmtId="2" fontId="53" fillId="9" borderId="28" xfId="0" applyNumberFormat="1" applyFont="1" applyFill="1" applyBorder="1"/>
    <xf numFmtId="0" fontId="0" fillId="2" borderId="28" xfId="0" applyFill="1" applyBorder="1" applyAlignment="1" applyProtection="1">
      <alignment horizontal="left" vertical="center"/>
      <protection hidden="1"/>
    </xf>
    <xf numFmtId="0" fontId="0" fillId="0" borderId="28" xfId="0" applyBorder="1" applyAlignment="1" applyProtection="1">
      <alignment horizontal="left" vertical="center"/>
      <protection hidden="1"/>
    </xf>
    <xf numFmtId="0" fontId="0" fillId="4" borderId="0" xfId="0" applyFill="1"/>
    <xf numFmtId="16" fontId="56" fillId="0" borderId="0" xfId="0" applyNumberFormat="1" applyFont="1"/>
    <xf numFmtId="0" fontId="65" fillId="0" borderId="39" xfId="0" applyFont="1" applyBorder="1" applyAlignment="1">
      <alignment horizontal="center"/>
    </xf>
    <xf numFmtId="0" fontId="65" fillId="0" borderId="28" xfId="0" applyFont="1" applyBorder="1" applyAlignment="1">
      <alignment horizontal="center"/>
    </xf>
    <xf numFmtId="0" fontId="66" fillId="0" borderId="28" xfId="0" applyFont="1" applyBorder="1" applyAlignment="1" applyProtection="1">
      <alignment horizontal="center"/>
      <protection hidden="1"/>
    </xf>
    <xf numFmtId="4" fontId="48" fillId="0" borderId="28" xfId="0" applyNumberFormat="1" applyFont="1" applyBorder="1" applyAlignment="1">
      <alignment horizontal="right" vertical="top" wrapText="1"/>
    </xf>
    <xf numFmtId="2" fontId="53" fillId="9" borderId="28" xfId="0" applyNumberFormat="1" applyFont="1" applyFill="1" applyBorder="1" applyAlignment="1">
      <alignment vertical="center"/>
    </xf>
    <xf numFmtId="173" fontId="42" fillId="9" borderId="28" xfId="0" applyNumberFormat="1" applyFont="1" applyFill="1" applyBorder="1" applyAlignment="1">
      <alignment horizontal="center"/>
    </xf>
    <xf numFmtId="4" fontId="0" fillId="9" borderId="28" xfId="0" applyNumberFormat="1" applyFill="1" applyBorder="1"/>
    <xf numFmtId="4" fontId="1" fillId="0" borderId="28" xfId="0" applyNumberFormat="1" applyFont="1" applyBorder="1" applyAlignment="1">
      <alignment horizontal="right" vertical="top" wrapText="1"/>
    </xf>
    <xf numFmtId="0" fontId="74" fillId="9" borderId="28" xfId="0" applyFont="1" applyFill="1" applyBorder="1" applyAlignment="1">
      <alignment horizontal="center" vertical="center" wrapText="1"/>
    </xf>
    <xf numFmtId="1" fontId="0" fillId="0" borderId="28" xfId="0" applyNumberFormat="1" applyBorder="1" applyAlignment="1">
      <alignment horizontal="center"/>
    </xf>
    <xf numFmtId="172" fontId="29" fillId="0" borderId="28" xfId="0" applyNumberFormat="1" applyFont="1" applyBorder="1" applyAlignment="1">
      <alignment horizontal="center"/>
    </xf>
    <xf numFmtId="4" fontId="4" fillId="0" borderId="28" xfId="0" applyNumberFormat="1" applyFont="1" applyBorder="1" applyAlignment="1">
      <alignment horizontal="center" vertical="center"/>
    </xf>
    <xf numFmtId="172" fontId="0" fillId="10" borderId="41" xfId="0" applyNumberFormat="1" applyFill="1" applyBorder="1" applyAlignment="1">
      <alignment horizontal="center"/>
    </xf>
    <xf numFmtId="0" fontId="19" fillId="0" borderId="28" xfId="0" applyFont="1" applyBorder="1" applyAlignment="1">
      <alignment horizontal="center"/>
    </xf>
    <xf numFmtId="2" fontId="56" fillId="0" borderId="0" xfId="0" applyNumberFormat="1" applyFont="1"/>
    <xf numFmtId="0" fontId="98" fillId="44" borderId="0" xfId="126" applyFont="1" applyFill="1" applyAlignment="1">
      <alignment horizontal="left" vertical="top" wrapText="1"/>
    </xf>
    <xf numFmtId="0" fontId="98" fillId="45" borderId="112" xfId="126" applyFont="1" applyFill="1" applyBorder="1" applyAlignment="1">
      <alignment horizontal="right" vertical="top" wrapText="1"/>
    </xf>
    <xf numFmtId="4" fontId="98" fillId="45" borderId="112" xfId="126" applyNumberFormat="1" applyFont="1" applyFill="1" applyBorder="1" applyAlignment="1">
      <alignment horizontal="right" vertical="top" wrapText="1"/>
    </xf>
    <xf numFmtId="0" fontId="98" fillId="45" borderId="112" xfId="126" applyFont="1" applyFill="1" applyBorder="1" applyAlignment="1">
      <alignment horizontal="center" vertical="top" wrapText="1"/>
    </xf>
    <xf numFmtId="0" fontId="98" fillId="45" borderId="112" xfId="126" applyFont="1" applyFill="1" applyBorder="1" applyAlignment="1">
      <alignment horizontal="left" vertical="top" wrapText="1"/>
    </xf>
    <xf numFmtId="165" fontId="0" fillId="0" borderId="0" xfId="0" applyNumberFormat="1"/>
    <xf numFmtId="0" fontId="55" fillId="0" borderId="39" xfId="0" applyFont="1" applyBorder="1" applyAlignment="1" applyProtection="1">
      <alignment horizontal="center" vertical="center"/>
      <protection hidden="1"/>
    </xf>
    <xf numFmtId="0" fontId="55" fillId="0" borderId="28" xfId="0" applyFont="1" applyBorder="1" applyAlignment="1" applyProtection="1">
      <alignment horizontal="center" vertical="center"/>
      <protection hidden="1"/>
    </xf>
    <xf numFmtId="0" fontId="16" fillId="0" borderId="0" xfId="0" applyFont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14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/>
    </xf>
    <xf numFmtId="4" fontId="13" fillId="0" borderId="0" xfId="0" applyNumberFormat="1" applyFont="1" applyAlignment="1">
      <alignment horizontal="center"/>
    </xf>
    <xf numFmtId="4" fontId="48" fillId="0" borderId="28" xfId="0" applyNumberFormat="1" applyFont="1" applyBorder="1" applyAlignment="1">
      <alignment horizontal="center" vertical="top" wrapText="1"/>
    </xf>
    <xf numFmtId="17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" fontId="0" fillId="9" borderId="28" xfId="0" applyNumberFormat="1" applyFill="1" applyBorder="1" applyAlignment="1">
      <alignment horizontal="center"/>
    </xf>
    <xf numFmtId="1" fontId="101" fillId="4" borderId="28" xfId="0" applyNumberFormat="1" applyFont="1" applyFill="1" applyBorder="1" applyAlignment="1">
      <alignment horizontal="center" vertical="center"/>
    </xf>
    <xf numFmtId="172" fontId="0" fillId="4" borderId="77" xfId="0" applyNumberFormat="1" applyFill="1" applyBorder="1" applyAlignment="1">
      <alignment horizontal="center"/>
    </xf>
    <xf numFmtId="4" fontId="0" fillId="4" borderId="0" xfId="0" applyNumberFormat="1" applyFill="1"/>
    <xf numFmtId="4" fontId="48" fillId="0" borderId="86" xfId="0" applyNumberFormat="1" applyFont="1" applyBorder="1" applyAlignment="1">
      <alignment horizontal="center" vertical="top" wrapText="1"/>
    </xf>
    <xf numFmtId="4" fontId="19" fillId="9" borderId="86" xfId="0" applyNumberFormat="1" applyFont="1" applyFill="1" applyBorder="1" applyAlignment="1">
      <alignment horizontal="center"/>
    </xf>
    <xf numFmtId="0" fontId="99" fillId="44" borderId="0" xfId="126" applyFont="1" applyFill="1" applyAlignment="1">
      <alignment horizontal="center" vertical="top" wrapText="1"/>
    </xf>
    <xf numFmtId="0" fontId="98" fillId="44" borderId="0" xfId="126" applyFont="1" applyFill="1" applyAlignment="1">
      <alignment horizontal="right" vertical="top" wrapText="1"/>
    </xf>
    <xf numFmtId="0" fontId="97" fillId="0" borderId="0" xfId="126"/>
    <xf numFmtId="0" fontId="99" fillId="44" borderId="0" xfId="126" applyFont="1" applyFill="1" applyAlignment="1">
      <alignment horizontal="right" vertical="top" wrapText="1"/>
    </xf>
    <xf numFmtId="0" fontId="99" fillId="44" borderId="0" xfId="126" applyFont="1" applyFill="1" applyAlignment="1">
      <alignment horizontal="left" vertical="top" wrapText="1"/>
    </xf>
    <xf numFmtId="0" fontId="98" fillId="44" borderId="0" xfId="126" applyFont="1" applyFill="1" applyAlignment="1">
      <alignment horizontal="center" vertical="top" wrapText="1"/>
    </xf>
    <xf numFmtId="0" fontId="100" fillId="44" borderId="0" xfId="126" applyFont="1" applyFill="1" applyAlignment="1">
      <alignment horizontal="left" vertical="top" wrapText="1"/>
    </xf>
    <xf numFmtId="0" fontId="100" fillId="44" borderId="112" xfId="126" applyFont="1" applyFill="1" applyBorder="1" applyAlignment="1">
      <alignment horizontal="right" vertical="top" wrapText="1"/>
    </xf>
    <xf numFmtId="4" fontId="37" fillId="4" borderId="0" xfId="126" applyNumberFormat="1" applyFont="1" applyFill="1" applyAlignment="1">
      <alignment vertical="top" wrapText="1"/>
    </xf>
    <xf numFmtId="4" fontId="0" fillId="0" borderId="86" xfId="0" applyNumberFormat="1" applyBorder="1" applyAlignment="1">
      <alignment horizontal="center"/>
    </xf>
    <xf numFmtId="17" fontId="67" fillId="46" borderId="41" xfId="0" applyNumberFormat="1" applyFont="1" applyFill="1" applyBorder="1" applyAlignment="1">
      <alignment horizontal="center" vertical="center"/>
    </xf>
    <xf numFmtId="4" fontId="69" fillId="46" borderId="38" xfId="0" applyNumberFormat="1" applyFont="1" applyFill="1" applyBorder="1" applyAlignment="1">
      <alignment horizontal="center" vertical="center"/>
    </xf>
    <xf numFmtId="0" fontId="0" fillId="46" borderId="0" xfId="0" applyFill="1"/>
    <xf numFmtId="0" fontId="26" fillId="46" borderId="0" xfId="0" applyFont="1" applyFill="1" applyAlignment="1">
      <alignment horizontal="center"/>
    </xf>
    <xf numFmtId="1" fontId="56" fillId="0" borderId="28" xfId="0" applyNumberFormat="1" applyFont="1" applyBorder="1" applyAlignment="1">
      <alignment horizontal="center" vertical="center"/>
    </xf>
    <xf numFmtId="4" fontId="4" fillId="0" borderId="28" xfId="0" applyNumberFormat="1" applyFont="1" applyBorder="1" applyAlignment="1" applyProtection="1">
      <alignment horizontal="center" vertical="center"/>
      <protection hidden="1"/>
    </xf>
    <xf numFmtId="0" fontId="20" fillId="0" borderId="86" xfId="0" applyFont="1" applyBorder="1" applyAlignment="1">
      <alignment horizontal="center" vertical="center"/>
    </xf>
    <xf numFmtId="165" fontId="3" fillId="0" borderId="86" xfId="0" applyNumberFormat="1" applyFont="1" applyBorder="1" applyAlignment="1" applyProtection="1">
      <alignment vertical="center"/>
      <protection locked="0"/>
    </xf>
    <xf numFmtId="165" fontId="75" fillId="0" borderId="86" xfId="0" applyNumberFormat="1" applyFont="1" applyBorder="1" applyAlignment="1" applyProtection="1">
      <alignment vertical="center"/>
      <protection locked="0"/>
    </xf>
    <xf numFmtId="165" fontId="75" fillId="0" borderId="84" xfId="2" applyFont="1" applyBorder="1" applyAlignment="1" applyProtection="1">
      <alignment vertical="center"/>
      <protection hidden="1"/>
    </xf>
    <xf numFmtId="164" fontId="41" fillId="46" borderId="31" xfId="2" applyNumberFormat="1" applyFont="1" applyFill="1" applyBorder="1" applyAlignment="1" applyProtection="1">
      <alignment vertical="center" wrapText="1"/>
      <protection locked="0"/>
    </xf>
    <xf numFmtId="0" fontId="41" fillId="46" borderId="28" xfId="0" applyFont="1" applyFill="1" applyBorder="1" applyAlignment="1" applyProtection="1">
      <alignment horizontal="center" vertical="center"/>
      <protection hidden="1"/>
    </xf>
    <xf numFmtId="17" fontId="74" fillId="46" borderId="28" xfId="0" applyNumberFormat="1" applyFont="1" applyFill="1" applyBorder="1" applyAlignment="1">
      <alignment horizontal="center" vertical="center"/>
    </xf>
    <xf numFmtId="17" fontId="74" fillId="46" borderId="38" xfId="0" applyNumberFormat="1" applyFont="1" applyFill="1" applyBorder="1" applyAlignment="1">
      <alignment horizontal="center" vertical="center"/>
    </xf>
    <xf numFmtId="4" fontId="0" fillId="46" borderId="28" xfId="0" applyNumberFormat="1" applyFill="1" applyBorder="1" applyAlignment="1">
      <alignment horizontal="center"/>
    </xf>
    <xf numFmtId="0" fontId="3" fillId="46" borderId="28" xfId="0" applyFont="1" applyFill="1" applyBorder="1" applyAlignment="1" applyProtection="1">
      <alignment horizontal="center" vertical="center"/>
      <protection hidden="1"/>
    </xf>
    <xf numFmtId="0" fontId="55" fillId="0" borderId="0" xfId="3" applyFont="1" applyAlignment="1">
      <alignment vertical="center" wrapText="1"/>
    </xf>
    <xf numFmtId="0" fontId="36" fillId="0" borderId="0" xfId="4"/>
    <xf numFmtId="0" fontId="35" fillId="0" borderId="0" xfId="3" applyFont="1"/>
    <xf numFmtId="0" fontId="20" fillId="0" borderId="0" xfId="3" applyFont="1"/>
    <xf numFmtId="0" fontId="37" fillId="0" borderId="0" xfId="3" applyFont="1" applyAlignment="1">
      <alignment wrapText="1"/>
    </xf>
    <xf numFmtId="0" fontId="37" fillId="0" borderId="0" xfId="3" applyFont="1"/>
    <xf numFmtId="0" fontId="40" fillId="0" borderId="0" xfId="3" applyFont="1" applyAlignment="1">
      <alignment horizontal="center"/>
    </xf>
    <xf numFmtId="0" fontId="38" fillId="0" borderId="0" xfId="4" applyFont="1" applyAlignment="1" applyProtection="1">
      <alignment horizontal="center" vertical="center" wrapText="1"/>
      <protection hidden="1"/>
    </xf>
    <xf numFmtId="0" fontId="39" fillId="0" borderId="28" xfId="4" applyFont="1" applyBorder="1" applyAlignment="1">
      <alignment horizontal="left" vertical="center" wrapText="1"/>
    </xf>
    <xf numFmtId="0" fontId="1" fillId="0" borderId="28" xfId="4" applyFont="1" applyBorder="1" applyAlignment="1">
      <alignment horizontal="center" vertical="center"/>
    </xf>
    <xf numFmtId="1" fontId="1" fillId="0" borderId="28" xfId="4" applyNumberFormat="1" applyFont="1" applyBorder="1" applyAlignment="1">
      <alignment horizontal="center" vertical="center"/>
    </xf>
    <xf numFmtId="172" fontId="48" fillId="0" borderId="28" xfId="4" applyNumberFormat="1" applyFont="1" applyBorder="1" applyAlignment="1">
      <alignment horizontal="center"/>
    </xf>
    <xf numFmtId="0" fontId="39" fillId="0" borderId="28" xfId="4" applyFont="1" applyBorder="1" applyAlignment="1">
      <alignment horizontal="left" vertical="center"/>
    </xf>
    <xf numFmtId="169" fontId="36" fillId="0" borderId="0" xfId="4" applyNumberFormat="1"/>
    <xf numFmtId="0" fontId="39" fillId="0" borderId="28" xfId="4" applyFont="1" applyBorder="1"/>
    <xf numFmtId="4" fontId="36" fillId="0" borderId="0" xfId="4" applyNumberFormat="1"/>
    <xf numFmtId="168" fontId="36" fillId="0" borderId="0" xfId="4" applyNumberFormat="1"/>
    <xf numFmtId="0" fontId="40" fillId="0" borderId="28" xfId="3" applyFont="1" applyBorder="1" applyAlignment="1">
      <alignment horizontal="center" vertical="center" wrapText="1"/>
    </xf>
    <xf numFmtId="0" fontId="40" fillId="0" borderId="28" xfId="4" applyFont="1" applyBorder="1" applyAlignment="1" applyProtection="1">
      <alignment horizontal="center" vertical="center" wrapText="1"/>
      <protection hidden="1"/>
    </xf>
    <xf numFmtId="0" fontId="1" fillId="0" borderId="28" xfId="3" applyBorder="1" applyAlignment="1">
      <alignment horizontal="left"/>
    </xf>
    <xf numFmtId="3" fontId="1" fillId="0" borderId="28" xfId="3" applyNumberFormat="1" applyBorder="1" applyAlignment="1">
      <alignment horizontal="center"/>
    </xf>
    <xf numFmtId="4" fontId="1" fillId="0" borderId="28" xfId="3" applyNumberFormat="1" applyBorder="1" applyAlignment="1">
      <alignment horizontal="center"/>
    </xf>
    <xf numFmtId="4" fontId="37" fillId="0" borderId="0" xfId="3" applyNumberFormat="1" applyFont="1" applyAlignment="1">
      <alignment horizontal="center"/>
    </xf>
    <xf numFmtId="0" fontId="1" fillId="0" borderId="28" xfId="4" applyFont="1" applyBorder="1" applyAlignment="1">
      <alignment horizontal="left" vertical="center" wrapText="1"/>
    </xf>
    <xf numFmtId="0" fontId="1" fillId="0" borderId="0" xfId="3" applyAlignment="1">
      <alignment horizontal="center"/>
    </xf>
    <xf numFmtId="4" fontId="1" fillId="0" borderId="28" xfId="4" applyNumberFormat="1" applyFont="1" applyBorder="1" applyAlignment="1">
      <alignment horizontal="center"/>
    </xf>
    <xf numFmtId="0" fontId="38" fillId="0" borderId="28" xfId="4" applyFont="1" applyBorder="1" applyAlignment="1">
      <alignment horizontal="center" vertical="center" wrapText="1"/>
    </xf>
    <xf numFmtId="1" fontId="1" fillId="0" borderId="28" xfId="4" applyNumberFormat="1" applyFont="1" applyBorder="1" applyAlignment="1">
      <alignment horizontal="center"/>
    </xf>
    <xf numFmtId="0" fontId="44" fillId="0" borderId="28" xfId="4" applyFont="1" applyBorder="1" applyAlignment="1">
      <alignment horizontal="left" vertical="center" wrapText="1"/>
    </xf>
    <xf numFmtId="0" fontId="36" fillId="0" borderId="28" xfId="4" applyBorder="1"/>
    <xf numFmtId="0" fontId="47" fillId="0" borderId="0" xfId="4" applyFont="1"/>
    <xf numFmtId="0" fontId="50" fillId="0" borderId="0" xfId="3" applyFont="1"/>
    <xf numFmtId="0" fontId="36" fillId="0" borderId="0" xfId="4" applyAlignment="1">
      <alignment horizontal="center"/>
    </xf>
    <xf numFmtId="0" fontId="45" fillId="0" borderId="0" xfId="4" applyFont="1" applyAlignment="1">
      <alignment horizontal="right"/>
    </xf>
    <xf numFmtId="0" fontId="38" fillId="0" borderId="28" xfId="4" applyFont="1" applyBorder="1" applyAlignment="1">
      <alignment horizontal="left" vertical="top" wrapText="1"/>
    </xf>
    <xf numFmtId="0" fontId="49" fillId="0" borderId="0" xfId="4" applyFont="1" applyAlignment="1">
      <alignment horizontal="center"/>
    </xf>
    <xf numFmtId="0" fontId="41" fillId="0" borderId="28" xfId="4" applyFont="1" applyBorder="1" applyAlignment="1" applyProtection="1">
      <alignment horizontal="center" vertical="center" wrapText="1"/>
      <protection hidden="1"/>
    </xf>
    <xf numFmtId="0" fontId="92" fillId="0" borderId="28" xfId="4" applyFont="1" applyBorder="1" applyAlignment="1">
      <alignment horizontal="center" vertical="center" wrapText="1"/>
    </xf>
    <xf numFmtId="2" fontId="1" fillId="0" borderId="28" xfId="4" applyNumberFormat="1" applyFont="1" applyBorder="1" applyAlignment="1" applyProtection="1">
      <alignment horizontal="center" vertical="center"/>
      <protection hidden="1"/>
    </xf>
    <xf numFmtId="4" fontId="1" fillId="0" borderId="28" xfId="4" applyNumberFormat="1" applyFont="1" applyBorder="1" applyAlignment="1" applyProtection="1">
      <alignment horizontal="center" vertical="center"/>
      <protection hidden="1"/>
    </xf>
    <xf numFmtId="4" fontId="37" fillId="0" borderId="28" xfId="4" applyNumberFormat="1" applyFont="1" applyBorder="1" applyAlignment="1" applyProtection="1">
      <alignment horizontal="center" vertical="center"/>
      <protection hidden="1"/>
    </xf>
    <xf numFmtId="4" fontId="37" fillId="0" borderId="28" xfId="3" applyNumberFormat="1" applyFont="1" applyBorder="1" applyAlignment="1">
      <alignment horizontal="center" vertical="center"/>
    </xf>
    <xf numFmtId="0" fontId="37" fillId="0" borderId="28" xfId="4" applyFont="1" applyBorder="1" applyAlignment="1">
      <alignment horizontal="center" vertical="center"/>
    </xf>
    <xf numFmtId="0" fontId="1" fillId="0" borderId="93" xfId="4" applyFont="1" applyBorder="1" applyAlignment="1" applyProtection="1">
      <alignment horizontal="center" vertical="center" wrapText="1"/>
      <protection hidden="1"/>
    </xf>
    <xf numFmtId="0" fontId="1" fillId="0" borderId="37" xfId="4" applyFont="1" applyBorder="1" applyAlignment="1">
      <alignment horizontal="center" vertical="center" wrapText="1"/>
    </xf>
    <xf numFmtId="0" fontId="1" fillId="0" borderId="91" xfId="4" applyFont="1" applyBorder="1" applyAlignment="1">
      <alignment horizontal="center" vertical="center" wrapText="1"/>
    </xf>
    <xf numFmtId="0" fontId="1" fillId="0" borderId="88" xfId="4" applyFont="1" applyBorder="1" applyAlignment="1" applyProtection="1">
      <alignment vertical="center" wrapText="1"/>
      <protection hidden="1"/>
    </xf>
    <xf numFmtId="2" fontId="1" fillId="0" borderId="111" xfId="4" applyNumberFormat="1" applyFont="1" applyBorder="1" applyAlignment="1">
      <alignment vertical="center" wrapText="1"/>
    </xf>
    <xf numFmtId="2" fontId="37" fillId="0" borderId="111" xfId="4" applyNumberFormat="1" applyFont="1" applyBorder="1"/>
    <xf numFmtId="0" fontId="1" fillId="0" borderId="28" xfId="3" applyBorder="1" applyAlignment="1">
      <alignment horizontal="center"/>
    </xf>
    <xf numFmtId="4" fontId="37" fillId="0" borderId="28" xfId="3" applyNumberFormat="1" applyFont="1" applyBorder="1" applyAlignment="1">
      <alignment horizontal="center"/>
    </xf>
    <xf numFmtId="0" fontId="29" fillId="0" borderId="0" xfId="0" applyFont="1" applyAlignment="1">
      <alignment horizontal="center" vertical="center"/>
    </xf>
    <xf numFmtId="4" fontId="0" fillId="46" borderId="0" xfId="0" applyNumberFormat="1" applyFill="1" applyAlignment="1">
      <alignment horizontal="center"/>
    </xf>
    <xf numFmtId="4" fontId="0" fillId="0" borderId="28" xfId="0" applyNumberFormat="1" applyBorder="1" applyAlignment="1" applyProtection="1">
      <alignment horizontal="center"/>
      <protection hidden="1"/>
    </xf>
    <xf numFmtId="4" fontId="42" fillId="46" borderId="28" xfId="0" applyNumberFormat="1" applyFont="1" applyFill="1" applyBorder="1" applyAlignment="1">
      <alignment horizontal="center" vertical="center"/>
    </xf>
    <xf numFmtId="4" fontId="0" fillId="46" borderId="28" xfId="0" applyNumberFormat="1" applyFill="1" applyBorder="1" applyAlignment="1" applyProtection="1">
      <alignment horizontal="center"/>
      <protection hidden="1"/>
    </xf>
    <xf numFmtId="4" fontId="7" fillId="46" borderId="28" xfId="0" applyNumberFormat="1" applyFont="1" applyFill="1" applyBorder="1" applyAlignment="1" applyProtection="1">
      <alignment horizontal="center" vertical="center"/>
      <protection hidden="1"/>
    </xf>
    <xf numFmtId="4" fontId="7" fillId="0" borderId="28" xfId="0" applyNumberFormat="1" applyFont="1" applyBorder="1" applyAlignment="1" applyProtection="1">
      <alignment horizontal="center" vertical="center"/>
      <protection hidden="1"/>
    </xf>
    <xf numFmtId="4" fontId="0" fillId="2" borderId="28" xfId="0" applyNumberFormat="1" applyFill="1" applyBorder="1" applyAlignment="1" applyProtection="1">
      <alignment horizontal="center"/>
      <protection hidden="1"/>
    </xf>
    <xf numFmtId="4" fontId="32" fillId="9" borderId="2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81" xfId="0" applyFont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horizontal="center" vertical="center" wrapText="1"/>
      <protection hidden="1"/>
    </xf>
    <xf numFmtId="0" fontId="2" fillId="0" borderId="94" xfId="0" applyFont="1" applyBorder="1" applyAlignment="1" applyProtection="1">
      <alignment horizontal="center" vertical="center" wrapText="1"/>
      <protection hidden="1"/>
    </xf>
    <xf numFmtId="0" fontId="2" fillId="0" borderId="2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77" xfId="0" applyNumberFormat="1" applyFont="1" applyBorder="1" applyAlignment="1">
      <alignment horizontal="center" vertical="center"/>
    </xf>
    <xf numFmtId="0" fontId="30" fillId="0" borderId="0" xfId="0" applyFont="1"/>
    <xf numFmtId="0" fontId="105" fillId="0" borderId="72" xfId="0" applyFont="1" applyBorder="1" applyAlignment="1">
      <alignment horizontal="left" vertical="center" wrapText="1"/>
    </xf>
    <xf numFmtId="0" fontId="30" fillId="0" borderId="28" xfId="0" applyFont="1" applyBorder="1" applyAlignment="1" applyProtection="1">
      <alignment horizontal="center" vertical="center"/>
      <protection hidden="1"/>
    </xf>
    <xf numFmtId="0" fontId="19" fillId="46" borderId="23" xfId="0" applyFont="1" applyFill="1" applyBorder="1" applyAlignment="1">
      <alignment horizontal="center" vertical="center"/>
    </xf>
    <xf numFmtId="2" fontId="2" fillId="0" borderId="28" xfId="0" applyNumberFormat="1" applyFont="1" applyBorder="1" applyAlignment="1" applyProtection="1">
      <alignment horizontal="center" vertical="center"/>
      <protection hidden="1"/>
    </xf>
    <xf numFmtId="165" fontId="30" fillId="0" borderId="0" xfId="0" applyNumberFormat="1" applyFont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30" fillId="4" borderId="77" xfId="0" applyFont="1" applyFill="1" applyBorder="1" applyAlignment="1">
      <alignment horizontal="center" vertical="center"/>
    </xf>
    <xf numFmtId="0" fontId="105" fillId="0" borderId="39" xfId="0" applyFont="1" applyBorder="1" applyAlignment="1">
      <alignment horizontal="left" vertical="center" wrapText="1"/>
    </xf>
    <xf numFmtId="0" fontId="19" fillId="46" borderId="28" xfId="0" applyFont="1" applyFill="1" applyBorder="1" applyAlignment="1">
      <alignment horizontal="center" vertical="center"/>
    </xf>
    <xf numFmtId="0" fontId="105" fillId="0" borderId="79" xfId="0" applyFont="1" applyBorder="1" applyAlignment="1">
      <alignment horizontal="left" vertical="center" wrapText="1"/>
    </xf>
    <xf numFmtId="0" fontId="30" fillId="0" borderId="47" xfId="0" applyFont="1" applyBorder="1" applyAlignment="1" applyProtection="1">
      <alignment horizontal="center" vertical="center"/>
      <protection hidden="1"/>
    </xf>
    <xf numFmtId="0" fontId="19" fillId="46" borderId="47" xfId="0" applyFont="1" applyFill="1" applyBorder="1" applyAlignment="1">
      <alignment horizontal="center" vertical="center"/>
    </xf>
    <xf numFmtId="4" fontId="2" fillId="0" borderId="93" xfId="0" applyNumberFormat="1" applyFont="1" applyBorder="1" applyAlignment="1" applyProtection="1">
      <alignment horizontal="center" vertical="center"/>
      <protection hidden="1"/>
    </xf>
    <xf numFmtId="0" fontId="30" fillId="0" borderId="14" xfId="0" applyFont="1" applyBorder="1"/>
    <xf numFmtId="0" fontId="19" fillId="0" borderId="9" xfId="0" applyFont="1" applyBorder="1"/>
    <xf numFmtId="0" fontId="19" fillId="0" borderId="0" xfId="0" applyFont="1" applyAlignment="1">
      <alignment horizontal="left" vertical="center"/>
    </xf>
    <xf numFmtId="0" fontId="106" fillId="0" borderId="0" xfId="0" applyFont="1" applyAlignment="1">
      <alignment horizontal="right"/>
    </xf>
    <xf numFmtId="0" fontId="106" fillId="0" borderId="77" xfId="0" applyFont="1" applyBorder="1" applyAlignment="1">
      <alignment horizontal="right"/>
    </xf>
    <xf numFmtId="4" fontId="106" fillId="0" borderId="80" xfId="0" applyNumberFormat="1" applyFont="1" applyBorder="1" applyAlignment="1">
      <alignment horizontal="center"/>
    </xf>
    <xf numFmtId="0" fontId="19" fillId="0" borderId="14" xfId="0" applyFont="1" applyBorder="1"/>
    <xf numFmtId="0" fontId="3" fillId="0" borderId="14" xfId="0" applyFont="1" applyBorder="1" applyAlignment="1">
      <alignment vertical="center" wrapText="1"/>
    </xf>
    <xf numFmtId="0" fontId="3" fillId="0" borderId="9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8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3" fontId="19" fillId="0" borderId="61" xfId="0" applyNumberFormat="1" applyFont="1" applyBorder="1" applyAlignment="1">
      <alignment horizontal="center" vertical="center"/>
    </xf>
    <xf numFmtId="4" fontId="106" fillId="0" borderId="0" xfId="0" applyNumberFormat="1" applyFont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4" fontId="32" fillId="0" borderId="40" xfId="0" applyNumberFormat="1" applyFont="1" applyBorder="1" applyAlignment="1">
      <alignment horizontal="center" vertical="center"/>
    </xf>
    <xf numFmtId="4" fontId="32" fillId="0" borderId="41" xfId="0" applyNumberFormat="1" applyFont="1" applyBorder="1" applyAlignment="1">
      <alignment horizontal="center" vertical="center"/>
    </xf>
    <xf numFmtId="2" fontId="19" fillId="46" borderId="28" xfId="0" applyNumberFormat="1" applyFont="1" applyFill="1" applyBorder="1" applyAlignment="1">
      <alignment horizontal="center" vertical="center"/>
    </xf>
    <xf numFmtId="4" fontId="32" fillId="0" borderId="28" xfId="0" applyNumberFormat="1" applyFont="1" applyBorder="1" applyAlignment="1">
      <alignment horizontal="center" vertical="center"/>
    </xf>
    <xf numFmtId="4" fontId="32" fillId="0" borderId="38" xfId="0" applyNumberFormat="1" applyFont="1" applyBorder="1" applyAlignment="1">
      <alignment horizontal="center" vertical="center"/>
    </xf>
    <xf numFmtId="4" fontId="32" fillId="0" borderId="84" xfId="0" applyNumberFormat="1" applyFont="1" applyBorder="1" applyAlignment="1">
      <alignment horizontal="center" vertical="center"/>
    </xf>
    <xf numFmtId="4" fontId="32" fillId="46" borderId="32" xfId="0" applyNumberFormat="1" applyFont="1" applyFill="1" applyBorder="1" applyAlignment="1">
      <alignment horizontal="center"/>
    </xf>
    <xf numFmtId="2" fontId="32" fillId="46" borderId="28" xfId="0" applyNumberFormat="1" applyFont="1" applyFill="1" applyBorder="1" applyAlignment="1">
      <alignment horizontal="center"/>
    </xf>
    <xf numFmtId="0" fontId="108" fillId="0" borderId="0" xfId="0" applyFont="1" applyAlignment="1">
      <alignment horizontal="right" vertical="center"/>
    </xf>
    <xf numFmtId="4" fontId="106" fillId="0" borderId="77" xfId="0" applyNumberFormat="1" applyFont="1" applyBorder="1"/>
    <xf numFmtId="0" fontId="19" fillId="0" borderId="10" xfId="0" applyFont="1" applyBorder="1"/>
    <xf numFmtId="0" fontId="19" fillId="0" borderId="12" xfId="0" applyFont="1" applyBorder="1"/>
    <xf numFmtId="0" fontId="19" fillId="0" borderId="15" xfId="0" applyFont="1" applyBorder="1"/>
    <xf numFmtId="0" fontId="103" fillId="0" borderId="9" xfId="0" applyFont="1" applyBorder="1" applyAlignment="1">
      <alignment horizontal="center"/>
    </xf>
    <xf numFmtId="0" fontId="103" fillId="0" borderId="0" xfId="0" applyFont="1" applyAlignment="1">
      <alignment horizontal="center"/>
    </xf>
    <xf numFmtId="0" fontId="103" fillId="0" borderId="14" xfId="0" applyFont="1" applyBorder="1" applyAlignment="1">
      <alignment horizontal="center"/>
    </xf>
    <xf numFmtId="0" fontId="3" fillId="0" borderId="44" xfId="0" applyFont="1" applyBorder="1" applyAlignment="1" applyProtection="1">
      <alignment horizontal="right" vertical="center"/>
      <protection hidden="1"/>
    </xf>
    <xf numFmtId="166" fontId="75" fillId="0" borderId="28" xfId="0" applyNumberFormat="1" applyFont="1" applyBorder="1" applyAlignment="1" applyProtection="1">
      <alignment horizontal="center" vertical="center"/>
      <protection hidden="1"/>
    </xf>
    <xf numFmtId="0" fontId="19" fillId="0" borderId="28" xfId="0" applyFont="1" applyBorder="1" applyAlignment="1" applyProtection="1">
      <alignment horizontal="center" vertical="center"/>
      <protection hidden="1"/>
    </xf>
    <xf numFmtId="167" fontId="19" fillId="0" borderId="28" xfId="0" applyNumberFormat="1" applyFont="1" applyBorder="1" applyAlignment="1" applyProtection="1">
      <alignment horizontal="center" vertical="center"/>
      <protection hidden="1"/>
    </xf>
    <xf numFmtId="0" fontId="19" fillId="46" borderId="28" xfId="0" applyFont="1" applyFill="1" applyBorder="1" applyAlignment="1" applyProtection="1">
      <alignment horizontal="center" vertical="center"/>
      <protection hidden="1"/>
    </xf>
    <xf numFmtId="165" fontId="19" fillId="0" borderId="28" xfId="0" applyNumberFormat="1" applyFont="1" applyBorder="1" applyAlignment="1" applyProtection="1">
      <alignment horizontal="center" vertical="center"/>
      <protection hidden="1"/>
    </xf>
    <xf numFmtId="165" fontId="75" fillId="0" borderId="36" xfId="2" applyFont="1" applyBorder="1" applyAlignment="1" applyProtection="1">
      <alignment vertical="center"/>
      <protection hidden="1"/>
    </xf>
    <xf numFmtId="2" fontId="19" fillId="0" borderId="0" xfId="0" applyNumberFormat="1" applyFont="1"/>
    <xf numFmtId="166" fontId="75" fillId="0" borderId="86" xfId="0" applyNumberFormat="1" applyFont="1" applyBorder="1" applyAlignment="1" applyProtection="1">
      <alignment horizontal="center" vertical="center"/>
      <protection hidden="1"/>
    </xf>
    <xf numFmtId="0" fontId="19" fillId="0" borderId="86" xfId="0" applyFont="1" applyBorder="1" applyAlignment="1" applyProtection="1">
      <alignment horizontal="center" vertical="center"/>
      <protection hidden="1"/>
    </xf>
    <xf numFmtId="167" fontId="19" fillId="0" borderId="86" xfId="0" applyNumberFormat="1" applyFont="1" applyBorder="1" applyAlignment="1" applyProtection="1">
      <alignment horizontal="center" vertical="center"/>
      <protection hidden="1"/>
    </xf>
    <xf numFmtId="0" fontId="19" fillId="4" borderId="86" xfId="0" applyFont="1" applyFill="1" applyBorder="1" applyAlignment="1" applyProtection="1">
      <alignment horizontal="center" vertical="center"/>
      <protection hidden="1"/>
    </xf>
    <xf numFmtId="165" fontId="19" fillId="0" borderId="86" xfId="0" applyNumberFormat="1" applyFont="1" applyBorder="1" applyAlignment="1" applyProtection="1">
      <alignment horizontal="center" vertical="center"/>
      <protection hidden="1"/>
    </xf>
    <xf numFmtId="165" fontId="3" fillId="9" borderId="77" xfId="2" applyFont="1" applyFill="1" applyBorder="1" applyAlignment="1" applyProtection="1">
      <alignment vertical="center"/>
      <protection hidden="1"/>
    </xf>
    <xf numFmtId="0" fontId="32" fillId="0" borderId="23" xfId="0" applyFont="1" applyBorder="1" applyAlignment="1">
      <alignment vertical="center"/>
    </xf>
    <xf numFmtId="0" fontId="19" fillId="0" borderId="23" xfId="0" applyFont="1" applyBorder="1"/>
    <xf numFmtId="0" fontId="3" fillId="0" borderId="80" xfId="0" applyFont="1" applyBorder="1" applyAlignment="1">
      <alignment horizontal="center" vertical="center"/>
    </xf>
    <xf numFmtId="0" fontId="39" fillId="4" borderId="74" xfId="0" applyFont="1" applyFill="1" applyBorder="1" applyAlignment="1">
      <alignment horizontal="center" vertical="center"/>
    </xf>
    <xf numFmtId="0" fontId="32" fillId="0" borderId="28" xfId="0" applyFont="1" applyBorder="1"/>
    <xf numFmtId="0" fontId="19" fillId="0" borderId="28" xfId="0" applyFont="1" applyBorder="1"/>
    <xf numFmtId="0" fontId="39" fillId="4" borderId="36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19" fillId="0" borderId="89" xfId="0" applyFont="1" applyBorder="1" applyAlignment="1">
      <alignment horizontal="center"/>
    </xf>
    <xf numFmtId="4" fontId="19" fillId="0" borderId="28" xfId="0" applyNumberFormat="1" applyFont="1" applyBorder="1" applyAlignment="1">
      <alignment horizontal="center" vertical="center"/>
    </xf>
    <xf numFmtId="4" fontId="32" fillId="0" borderId="28" xfId="0" applyNumberFormat="1" applyFont="1" applyBorder="1" applyAlignment="1">
      <alignment horizontal="right"/>
    </xf>
    <xf numFmtId="0" fontId="32" fillId="0" borderId="28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 vertical="center" wrapText="1"/>
    </xf>
    <xf numFmtId="0" fontId="32" fillId="0" borderId="0" xfId="0" applyFont="1" applyAlignment="1">
      <alignment horizontal="center" wrapText="1"/>
    </xf>
    <xf numFmtId="2" fontId="32" fillId="0" borderId="86" xfId="0" applyNumberFormat="1" applyFont="1" applyBorder="1"/>
    <xf numFmtId="4" fontId="19" fillId="0" borderId="86" xfId="0" applyNumberFormat="1" applyFont="1" applyBorder="1"/>
    <xf numFmtId="0" fontId="32" fillId="0" borderId="77" xfId="0" applyFont="1" applyBorder="1" applyAlignment="1">
      <alignment horizontal="right"/>
    </xf>
    <xf numFmtId="4" fontId="32" fillId="0" borderId="77" xfId="0" applyNumberFormat="1" applyFont="1" applyBorder="1"/>
    <xf numFmtId="43" fontId="32" fillId="9" borderId="28" xfId="0" applyNumberFormat="1" applyFont="1" applyFill="1" applyBorder="1"/>
    <xf numFmtId="0" fontId="32" fillId="0" borderId="28" xfId="0" applyFont="1" applyBorder="1" applyAlignment="1">
      <alignment horizontal="center" wrapText="1"/>
    </xf>
    <xf numFmtId="43" fontId="19" fillId="4" borderId="28" xfId="0" applyNumberFormat="1" applyFont="1" applyFill="1" applyBorder="1"/>
    <xf numFmtId="0" fontId="19" fillId="4" borderId="28" xfId="0" applyFont="1" applyFill="1" applyBorder="1" applyAlignment="1">
      <alignment horizontal="center" vertical="center"/>
    </xf>
    <xf numFmtId="43" fontId="19" fillId="0" borderId="28" xfId="0" applyNumberFormat="1" applyFont="1" applyBorder="1"/>
    <xf numFmtId="43" fontId="19" fillId="0" borderId="28" xfId="0" applyNumberFormat="1" applyFont="1" applyBorder="1" applyAlignment="1">
      <alignment horizontal="center" vertical="center"/>
    </xf>
    <xf numFmtId="0" fontId="32" fillId="0" borderId="0" xfId="0" applyFont="1" applyAlignment="1">
      <alignment horizontal="right"/>
    </xf>
    <xf numFmtId="4" fontId="32" fillId="0" borderId="0" xfId="0" applyNumberFormat="1" applyFont="1"/>
    <xf numFmtId="0" fontId="32" fillId="0" borderId="0" xfId="0" applyFont="1" applyAlignment="1">
      <alignment horizontal="center" vertical="center"/>
    </xf>
    <xf numFmtId="43" fontId="32" fillId="0" borderId="14" xfId="0" applyNumberFormat="1" applyFont="1" applyBorder="1" applyAlignment="1">
      <alignment vertical="center"/>
    </xf>
    <xf numFmtId="2" fontId="1" fillId="0" borderId="0" xfId="3" applyNumberFormat="1" applyAlignment="1">
      <alignment horizontal="center"/>
    </xf>
    <xf numFmtId="0" fontId="110" fillId="0" borderId="0" xfId="4" applyFont="1" applyAlignment="1">
      <alignment horizontal="right"/>
    </xf>
    <xf numFmtId="0" fontId="96" fillId="0" borderId="0" xfId="4" applyFont="1" applyAlignment="1">
      <alignment horizontal="center"/>
    </xf>
    <xf numFmtId="4" fontId="49" fillId="0" borderId="0" xfId="4" applyNumberFormat="1" applyFont="1"/>
    <xf numFmtId="0" fontId="37" fillId="0" borderId="76" xfId="3" applyFont="1" applyBorder="1" applyAlignment="1">
      <alignment horizontal="center" vertical="center"/>
    </xf>
    <xf numFmtId="0" fontId="37" fillId="0" borderId="14" xfId="3" applyFont="1" applyBorder="1" applyAlignment="1">
      <alignment horizontal="center"/>
    </xf>
    <xf numFmtId="0" fontId="93" fillId="0" borderId="38" xfId="4" applyFont="1" applyBorder="1" applyAlignment="1">
      <alignment horizontal="center" vertical="center" wrapText="1"/>
    </xf>
    <xf numFmtId="0" fontId="39" fillId="0" borderId="39" xfId="4" applyFont="1" applyBorder="1" applyAlignment="1">
      <alignment horizontal="center" vertical="center"/>
    </xf>
    <xf numFmtId="172" fontId="48" fillId="0" borderId="38" xfId="4" applyNumberFormat="1" applyFont="1" applyBorder="1" applyAlignment="1">
      <alignment horizontal="center"/>
    </xf>
    <xf numFmtId="4" fontId="37" fillId="0" borderId="38" xfId="4" applyNumberFormat="1" applyFont="1" applyBorder="1" applyAlignment="1" applyProtection="1">
      <alignment horizontal="center" vertical="center"/>
      <protection hidden="1"/>
    </xf>
    <xf numFmtId="1" fontId="36" fillId="0" borderId="14" xfId="4" applyNumberFormat="1" applyBorder="1"/>
    <xf numFmtId="0" fontId="36" fillId="0" borderId="14" xfId="4" applyBorder="1"/>
    <xf numFmtId="0" fontId="40" fillId="0" borderId="39" xfId="3" applyFont="1" applyBorder="1" applyAlignment="1">
      <alignment horizontal="center" vertical="center"/>
    </xf>
    <xf numFmtId="0" fontId="1" fillId="0" borderId="39" xfId="3" applyBorder="1" applyAlignment="1">
      <alignment horizontal="center"/>
    </xf>
    <xf numFmtId="0" fontId="37" fillId="0" borderId="39" xfId="4" applyFont="1" applyBorder="1" applyAlignment="1">
      <alignment horizontal="center" vertical="center"/>
    </xf>
    <xf numFmtId="0" fontId="1" fillId="0" borderId="39" xfId="4" applyFont="1" applyBorder="1" applyAlignment="1">
      <alignment horizontal="center" vertical="center"/>
    </xf>
    <xf numFmtId="0" fontId="38" fillId="0" borderId="9" xfId="4" applyFont="1" applyBorder="1" applyAlignment="1">
      <alignment horizontal="center" vertical="center"/>
    </xf>
    <xf numFmtId="4" fontId="36" fillId="0" borderId="14" xfId="4" applyNumberFormat="1" applyBorder="1"/>
    <xf numFmtId="0" fontId="1" fillId="0" borderId="9" xfId="4" applyFont="1" applyBorder="1" applyAlignment="1">
      <alignment horizontal="center" vertical="center"/>
    </xf>
    <xf numFmtId="0" fontId="38" fillId="0" borderId="39" xfId="4" applyFont="1" applyBorder="1" applyAlignment="1">
      <alignment horizontal="center"/>
    </xf>
    <xf numFmtId="165" fontId="36" fillId="0" borderId="14" xfId="4" applyNumberFormat="1" applyBorder="1"/>
    <xf numFmtId="2" fontId="1" fillId="0" borderId="47" xfId="3" applyNumberFormat="1" applyBorder="1" applyAlignment="1">
      <alignment horizontal="center"/>
    </xf>
    <xf numFmtId="4" fontId="37" fillId="0" borderId="12" xfId="3" applyNumberFormat="1" applyFont="1" applyBorder="1" applyAlignment="1">
      <alignment horizontal="center"/>
    </xf>
    <xf numFmtId="0" fontId="36" fillId="0" borderId="15" xfId="4" applyBorder="1"/>
    <xf numFmtId="4" fontId="69" fillId="4" borderId="28" xfId="2" applyNumberFormat="1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>
      <alignment horizontal="right"/>
    </xf>
    <xf numFmtId="4" fontId="29" fillId="0" borderId="0" xfId="0" applyNumberFormat="1" applyFont="1"/>
    <xf numFmtId="43" fontId="29" fillId="0" borderId="14" xfId="0" applyNumberFormat="1" applyFont="1" applyBorder="1" applyAlignment="1">
      <alignment vertical="center"/>
    </xf>
    <xf numFmtId="4" fontId="69" fillId="0" borderId="28" xfId="2" applyNumberFormat="1" applyFont="1" applyFill="1" applyBorder="1" applyAlignment="1" applyProtection="1">
      <alignment horizontal="center" vertical="center"/>
      <protection hidden="1"/>
    </xf>
    <xf numFmtId="4" fontId="32" fillId="46" borderId="28" xfId="0" applyNumberFormat="1" applyFont="1" applyFill="1" applyBorder="1" applyAlignment="1">
      <alignment horizontal="center"/>
    </xf>
    <xf numFmtId="0" fontId="113" fillId="0" borderId="71" xfId="0" applyFont="1" applyBorder="1" applyAlignment="1">
      <alignment horizontal="center" vertical="center"/>
    </xf>
    <xf numFmtId="4" fontId="22" fillId="0" borderId="40" xfId="0" applyNumberFormat="1" applyFont="1" applyBorder="1" applyAlignment="1">
      <alignment horizontal="center" vertical="center"/>
    </xf>
    <xf numFmtId="4" fontId="114" fillId="0" borderId="0" xfId="3" applyNumberFormat="1" applyFont="1" applyAlignment="1">
      <alignment horizontal="center"/>
    </xf>
    <xf numFmtId="0" fontId="68" fillId="46" borderId="38" xfId="0" applyFont="1" applyFill="1" applyBorder="1" applyAlignment="1">
      <alignment horizontal="center" vertical="center"/>
    </xf>
    <xf numFmtId="4" fontId="68" fillId="46" borderId="38" xfId="0" applyNumberFormat="1" applyFont="1" applyFill="1" applyBorder="1" applyAlignment="1">
      <alignment horizontal="center" vertical="center"/>
    </xf>
    <xf numFmtId="4" fontId="116" fillId="0" borderId="38" xfId="0" applyNumberFormat="1" applyFont="1" applyBorder="1" applyAlignment="1">
      <alignment horizontal="center" vertical="center"/>
    </xf>
    <xf numFmtId="2" fontId="116" fillId="0" borderId="38" xfId="0" applyNumberFormat="1" applyFont="1" applyBorder="1" applyAlignment="1">
      <alignment horizontal="center" vertical="center"/>
    </xf>
    <xf numFmtId="165" fontId="36" fillId="0" borderId="0" xfId="4" applyNumberFormat="1"/>
    <xf numFmtId="4" fontId="117" fillId="0" borderId="0" xfId="0" applyNumberFormat="1" applyFont="1" applyAlignment="1">
      <alignment vertical="center"/>
    </xf>
    <xf numFmtId="0" fontId="61" fillId="0" borderId="28" xfId="0" applyFont="1" applyBorder="1" applyAlignment="1">
      <alignment horizontal="left" vertical="center"/>
    </xf>
    <xf numFmtId="0" fontId="61" fillId="0" borderId="38" xfId="0" applyFont="1" applyBorder="1" applyAlignment="1">
      <alignment horizontal="left" vertical="center"/>
    </xf>
    <xf numFmtId="2" fontId="61" fillId="0" borderId="38" xfId="0" applyNumberFormat="1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61" fillId="0" borderId="36" xfId="0" applyFont="1" applyBorder="1" applyAlignment="1">
      <alignment horizontal="left" vertical="center"/>
    </xf>
    <xf numFmtId="43" fontId="19" fillId="4" borderId="31" xfId="0" applyNumberFormat="1" applyFont="1" applyFill="1" applyBorder="1" applyAlignment="1">
      <alignment horizontal="center"/>
    </xf>
    <xf numFmtId="0" fontId="0" fillId="0" borderId="39" xfId="0" applyFill="1" applyBorder="1"/>
    <xf numFmtId="0" fontId="0" fillId="0" borderId="79" xfId="0" applyFill="1" applyBorder="1"/>
    <xf numFmtId="0" fontId="0" fillId="0" borderId="0" xfId="0" applyFill="1"/>
    <xf numFmtId="0" fontId="38" fillId="0" borderId="39" xfId="4" applyFont="1" applyBorder="1" applyAlignment="1">
      <alignment horizontal="center" vertical="center"/>
    </xf>
    <xf numFmtId="0" fontId="38" fillId="0" borderId="28" xfId="4" applyFont="1" applyBorder="1" applyAlignment="1">
      <alignment horizontal="center" vertical="center"/>
    </xf>
    <xf numFmtId="0" fontId="37" fillId="0" borderId="28" xfId="3" applyFont="1" applyBorder="1" applyAlignment="1">
      <alignment horizontal="center" vertical="center"/>
    </xf>
    <xf numFmtId="0" fontId="40" fillId="0" borderId="28" xfId="4" applyFont="1" applyBorder="1" applyAlignment="1">
      <alignment horizontal="center" vertical="center"/>
    </xf>
    <xf numFmtId="0" fontId="40" fillId="0" borderId="28" xfId="3" applyFont="1" applyBorder="1" applyAlignment="1">
      <alignment horizontal="center" vertical="center"/>
    </xf>
    <xf numFmtId="0" fontId="1" fillId="0" borderId="47" xfId="3" applyBorder="1" applyAlignment="1">
      <alignment horizontal="center"/>
    </xf>
    <xf numFmtId="0" fontId="37" fillId="0" borderId="9" xfId="3" applyFont="1" applyBorder="1" applyAlignment="1">
      <alignment horizontal="center"/>
    </xf>
    <xf numFmtId="0" fontId="40" fillId="0" borderId="39" xfId="4" applyFont="1" applyBorder="1" applyAlignment="1">
      <alignment horizontal="center" vertical="center"/>
    </xf>
    <xf numFmtId="0" fontId="41" fillId="0" borderId="28" xfId="4" applyFont="1" applyBorder="1" applyAlignment="1">
      <alignment horizontal="center" vertical="center" wrapText="1"/>
    </xf>
    <xf numFmtId="4" fontId="1" fillId="0" borderId="28" xfId="3" applyNumberFormat="1" applyBorder="1" applyAlignment="1">
      <alignment horizontal="center" vertical="center"/>
    </xf>
    <xf numFmtId="0" fontId="40" fillId="0" borderId="9" xfId="4" applyFont="1" applyBorder="1" applyAlignment="1">
      <alignment horizontal="center" vertical="center"/>
    </xf>
    <xf numFmtId="0" fontId="37" fillId="0" borderId="0" xfId="3" applyFont="1" applyBorder="1" applyAlignment="1">
      <alignment horizontal="center"/>
    </xf>
    <xf numFmtId="49" fontId="39" fillId="0" borderId="0" xfId="3" applyNumberFormat="1" applyFont="1" applyBorder="1" applyAlignment="1">
      <alignment horizontal="center" vertical="center"/>
    </xf>
    <xf numFmtId="0" fontId="37" fillId="0" borderId="0" xfId="3" applyFont="1" applyBorder="1" applyAlignment="1">
      <alignment horizontal="center" vertical="center"/>
    </xf>
    <xf numFmtId="0" fontId="38" fillId="0" borderId="0" xfId="4" applyFont="1" applyBorder="1" applyAlignment="1" applyProtection="1">
      <alignment horizontal="center" vertical="center" wrapText="1"/>
      <protection hidden="1"/>
    </xf>
    <xf numFmtId="4" fontId="1" fillId="0" borderId="0" xfId="3" applyNumberFormat="1" applyBorder="1" applyAlignment="1">
      <alignment horizontal="center"/>
    </xf>
    <xf numFmtId="4" fontId="37" fillId="0" borderId="0" xfId="3" applyNumberFormat="1" applyFont="1" applyBorder="1" applyAlignment="1">
      <alignment horizontal="center"/>
    </xf>
    <xf numFmtId="0" fontId="1" fillId="0" borderId="0" xfId="4" applyFont="1" applyBorder="1" applyAlignment="1">
      <alignment horizontal="center" vertical="center" wrapText="1"/>
    </xf>
    <xf numFmtId="2" fontId="1" fillId="0" borderId="0" xfId="4" applyNumberFormat="1" applyFont="1" applyBorder="1" applyAlignment="1">
      <alignment vertical="center" wrapText="1"/>
    </xf>
    <xf numFmtId="2" fontId="37" fillId="0" borderId="0" xfId="4" applyNumberFormat="1" applyFont="1" applyBorder="1"/>
    <xf numFmtId="0" fontId="1" fillId="0" borderId="0" xfId="3" applyBorder="1" applyAlignment="1">
      <alignment horizontal="center"/>
    </xf>
    <xf numFmtId="4" fontId="20" fillId="0" borderId="0" xfId="3" applyNumberFormat="1" applyFont="1" applyBorder="1" applyAlignment="1">
      <alignment horizontal="center" vertical="center"/>
    </xf>
    <xf numFmtId="0" fontId="20" fillId="0" borderId="0" xfId="3" applyFont="1" applyBorder="1" applyAlignment="1">
      <alignment horizontal="center" vertical="center"/>
    </xf>
    <xf numFmtId="4" fontId="37" fillId="0" borderId="0" xfId="3" applyNumberFormat="1" applyFont="1" applyBorder="1" applyAlignment="1">
      <alignment horizontal="center" vertical="center"/>
    </xf>
    <xf numFmtId="0" fontId="1" fillId="0" borderId="0" xfId="4" applyFont="1" applyBorder="1" applyAlignment="1">
      <alignment horizontal="center"/>
    </xf>
    <xf numFmtId="0" fontId="40" fillId="0" borderId="0" xfId="4" applyFont="1" applyBorder="1" applyAlignment="1">
      <alignment horizontal="center" vertical="center"/>
    </xf>
    <xf numFmtId="0" fontId="40" fillId="0" borderId="0" xfId="4" applyFont="1" applyBorder="1" applyAlignment="1">
      <alignment horizontal="center" vertical="center" wrapText="1"/>
    </xf>
    <xf numFmtId="0" fontId="38" fillId="0" borderId="0" xfId="4" applyFont="1" applyBorder="1" applyAlignment="1">
      <alignment horizontal="center" vertical="center"/>
    </xf>
    <xf numFmtId="0" fontId="1" fillId="0" borderId="0" xfId="4" applyFont="1" applyBorder="1" applyAlignment="1">
      <alignment horizontal="left"/>
    </xf>
    <xf numFmtId="4" fontId="1" fillId="0" borderId="0" xfId="4" applyNumberFormat="1" applyFont="1" applyBorder="1" applyAlignment="1">
      <alignment horizontal="center"/>
    </xf>
    <xf numFmtId="3" fontId="1" fillId="0" borderId="0" xfId="4" applyNumberFormat="1" applyFont="1" applyBorder="1" applyAlignment="1">
      <alignment horizontal="center"/>
    </xf>
    <xf numFmtId="4" fontId="1" fillId="0" borderId="0" xfId="3" applyNumberFormat="1" applyBorder="1" applyAlignment="1">
      <alignment horizontal="center" vertical="center"/>
    </xf>
    <xf numFmtId="0" fontId="1" fillId="0" borderId="0" xfId="4" applyFont="1" applyBorder="1" applyAlignment="1">
      <alignment horizontal="left" wrapText="1"/>
    </xf>
    <xf numFmtId="4" fontId="1" fillId="0" borderId="0" xfId="4" applyNumberFormat="1" applyFont="1" applyBorder="1" applyAlignment="1">
      <alignment horizontal="center" vertical="center"/>
    </xf>
    <xf numFmtId="0" fontId="1" fillId="0" borderId="0" xfId="4" applyFont="1" applyBorder="1" applyAlignment="1">
      <alignment horizontal="center" vertical="center"/>
    </xf>
    <xf numFmtId="4" fontId="37" fillId="0" borderId="0" xfId="4" applyNumberFormat="1" applyFont="1" applyBorder="1" applyAlignment="1">
      <alignment horizontal="center"/>
    </xf>
    <xf numFmtId="0" fontId="20" fillId="0" borderId="0" xfId="4" applyFont="1" applyBorder="1" applyAlignment="1">
      <alignment horizontal="center"/>
    </xf>
    <xf numFmtId="0" fontId="41" fillId="0" borderId="0" xfId="4" applyFont="1" applyBorder="1" applyAlignment="1">
      <alignment horizontal="center" vertical="center" wrapText="1"/>
    </xf>
    <xf numFmtId="0" fontId="1" fillId="0" borderId="0" xfId="4" applyFont="1" applyBorder="1" applyAlignment="1">
      <alignment horizontal="left" vertical="center"/>
    </xf>
    <xf numFmtId="2" fontId="38" fillId="0" borderId="0" xfId="4" applyNumberFormat="1" applyFont="1" applyBorder="1" applyAlignment="1">
      <alignment horizontal="center" vertical="center" wrapText="1"/>
    </xf>
    <xf numFmtId="2" fontId="1" fillId="0" borderId="0" xfId="4" applyNumberFormat="1" applyFont="1" applyBorder="1" applyAlignment="1">
      <alignment horizontal="center" vertical="center"/>
    </xf>
    <xf numFmtId="0" fontId="45" fillId="0" borderId="0" xfId="4" applyFont="1" applyBorder="1" applyAlignment="1">
      <alignment horizontal="center" vertical="center" wrapText="1"/>
    </xf>
    <xf numFmtId="0" fontId="46" fillId="0" borderId="0" xfId="3" applyFont="1" applyBorder="1" applyAlignment="1">
      <alignment horizontal="center" vertical="center"/>
    </xf>
    <xf numFmtId="0" fontId="38" fillId="0" borderId="0" xfId="3" applyFont="1" applyBorder="1" applyAlignment="1">
      <alignment horizontal="center" vertical="center"/>
    </xf>
    <xf numFmtId="4" fontId="39" fillId="0" borderId="0" xfId="3" applyNumberFormat="1" applyFont="1" applyBorder="1" applyAlignment="1">
      <alignment horizontal="center"/>
    </xf>
    <xf numFmtId="0" fontId="36" fillId="0" borderId="0" xfId="4" applyBorder="1"/>
    <xf numFmtId="4" fontId="20" fillId="0" borderId="0" xfId="3" applyNumberFormat="1" applyFont="1" applyBorder="1" applyAlignment="1">
      <alignment horizontal="center"/>
    </xf>
    <xf numFmtId="4" fontId="118" fillId="0" borderId="0" xfId="4" applyNumberFormat="1" applyFont="1"/>
    <xf numFmtId="0" fontId="55" fillId="0" borderId="9" xfId="3" applyFont="1" applyBorder="1" applyAlignment="1">
      <alignment horizontal="center" vertical="center" wrapText="1"/>
    </xf>
    <xf numFmtId="0" fontId="55" fillId="0" borderId="0" xfId="3" applyFont="1" applyAlignment="1">
      <alignment horizontal="center" vertical="center" wrapText="1"/>
    </xf>
    <xf numFmtId="0" fontId="59" fillId="0" borderId="85" xfId="0" applyFont="1" applyBorder="1" applyAlignment="1">
      <alignment horizontal="center"/>
    </xf>
    <xf numFmtId="0" fontId="59" fillId="0" borderId="67" xfId="0" applyFont="1" applyBorder="1" applyAlignment="1">
      <alignment horizontal="center"/>
    </xf>
    <xf numFmtId="0" fontId="59" fillId="0" borderId="92" xfId="0" applyFont="1" applyBorder="1" applyAlignment="1">
      <alignment horizontal="center"/>
    </xf>
    <xf numFmtId="0" fontId="14" fillId="0" borderId="39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7" borderId="28" xfId="0" applyFont="1" applyFill="1" applyBorder="1" applyAlignment="1">
      <alignment horizontal="center" vertical="center"/>
    </xf>
    <xf numFmtId="0" fontId="14" fillId="7" borderId="38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62" fillId="0" borderId="39" xfId="0" applyFont="1" applyBorder="1" applyAlignment="1">
      <alignment horizontal="center" vertical="center"/>
    </xf>
    <xf numFmtId="0" fontId="62" fillId="0" borderId="28" xfId="0" applyFont="1" applyBorder="1" applyAlignment="1">
      <alignment horizontal="center" vertical="center"/>
    </xf>
    <xf numFmtId="0" fontId="73" fillId="46" borderId="31" xfId="0" applyFont="1" applyFill="1" applyBorder="1" applyAlignment="1" applyProtection="1">
      <alignment horizontal="center" vertical="center" wrapText="1"/>
      <protection locked="0"/>
    </xf>
    <xf numFmtId="0" fontId="73" fillId="46" borderId="67" xfId="0" applyFont="1" applyFill="1" applyBorder="1" applyAlignment="1" applyProtection="1">
      <alignment horizontal="center" vertical="center" wrapText="1"/>
      <protection locked="0"/>
    </xf>
    <xf numFmtId="0" fontId="73" fillId="46" borderId="32" xfId="0" applyFont="1" applyFill="1" applyBorder="1" applyAlignment="1" applyProtection="1">
      <alignment horizontal="center" vertical="center" wrapText="1"/>
      <protection locked="0"/>
    </xf>
    <xf numFmtId="0" fontId="58" fillId="0" borderId="85" xfId="0" applyFont="1" applyBorder="1" applyAlignment="1" applyProtection="1">
      <alignment horizontal="center" vertical="center"/>
      <protection hidden="1"/>
    </xf>
    <xf numFmtId="0" fontId="58" fillId="0" borderId="67" xfId="0" applyFont="1" applyBorder="1" applyAlignment="1" applyProtection="1">
      <alignment horizontal="center" vertical="center"/>
      <protection hidden="1"/>
    </xf>
    <xf numFmtId="0" fontId="58" fillId="0" borderId="92" xfId="0" applyFont="1" applyBorder="1" applyAlignment="1" applyProtection="1">
      <alignment horizontal="center" vertical="center"/>
      <protection hidden="1"/>
    </xf>
    <xf numFmtId="0" fontId="56" fillId="0" borderId="39" xfId="0" applyFont="1" applyBorder="1" applyAlignment="1">
      <alignment horizontal="center"/>
    </xf>
    <xf numFmtId="0" fontId="56" fillId="0" borderId="28" xfId="0" applyFont="1" applyBorder="1" applyAlignment="1">
      <alignment horizontal="center"/>
    </xf>
    <xf numFmtId="0" fontId="56" fillId="0" borderId="38" xfId="0" applyFont="1" applyBorder="1" applyAlignment="1">
      <alignment horizontal="center"/>
    </xf>
    <xf numFmtId="4" fontId="74" fillId="9" borderId="31" xfId="0" applyNumberFormat="1" applyFont="1" applyFill="1" applyBorder="1" applyAlignment="1" applyProtection="1">
      <alignment horizontal="center" vertical="center"/>
      <protection hidden="1"/>
    </xf>
    <xf numFmtId="0" fontId="74" fillId="9" borderId="32" xfId="0" applyFont="1" applyFill="1" applyBorder="1" applyAlignment="1" applyProtection="1">
      <alignment horizontal="center" vertical="center"/>
      <protection hidden="1"/>
    </xf>
    <xf numFmtId="0" fontId="55" fillId="0" borderId="8" xfId="3" applyFont="1" applyBorder="1" applyAlignment="1">
      <alignment horizontal="center" vertical="center" wrapText="1"/>
    </xf>
    <xf numFmtId="0" fontId="55" fillId="0" borderId="11" xfId="3" applyFont="1" applyBorder="1" applyAlignment="1">
      <alignment horizontal="center" vertical="center" wrapText="1"/>
    </xf>
    <xf numFmtId="0" fontId="55" fillId="0" borderId="13" xfId="3" applyFont="1" applyBorder="1" applyAlignment="1">
      <alignment horizontal="center" vertical="center" wrapText="1"/>
    </xf>
    <xf numFmtId="0" fontId="55" fillId="0" borderId="14" xfId="3" applyFont="1" applyBorder="1" applyAlignment="1">
      <alignment horizontal="center" vertical="center" wrapText="1"/>
    </xf>
    <xf numFmtId="0" fontId="55" fillId="0" borderId="10" xfId="3" applyFont="1" applyBorder="1" applyAlignment="1">
      <alignment horizontal="center" vertical="center" wrapText="1"/>
    </xf>
    <xf numFmtId="0" fontId="55" fillId="0" borderId="12" xfId="3" applyFont="1" applyBorder="1" applyAlignment="1">
      <alignment horizontal="center" vertical="center" wrapText="1"/>
    </xf>
    <xf numFmtId="0" fontId="55" fillId="0" borderId="15" xfId="3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2" borderId="68" xfId="0" applyFont="1" applyFill="1" applyBorder="1" applyAlignment="1" applyProtection="1">
      <alignment horizontal="center" vertical="center"/>
      <protection hidden="1"/>
    </xf>
    <xf numFmtId="0" fontId="9" fillId="2" borderId="34" xfId="0" applyFont="1" applyFill="1" applyBorder="1" applyAlignment="1" applyProtection="1">
      <alignment horizontal="center" vertical="center"/>
      <protection hidden="1"/>
    </xf>
    <xf numFmtId="0" fontId="0" fillId="0" borderId="34" xfId="0" applyBorder="1"/>
    <xf numFmtId="0" fontId="0" fillId="0" borderId="69" xfId="0" applyBorder="1"/>
    <xf numFmtId="0" fontId="0" fillId="2" borderId="28" xfId="0" applyFill="1" applyBorder="1" applyAlignment="1" applyProtection="1">
      <alignment horizontal="left" vertical="center"/>
      <protection hidden="1"/>
    </xf>
    <xf numFmtId="0" fontId="0" fillId="0" borderId="28" xfId="0" applyBorder="1" applyAlignment="1" applyProtection="1">
      <alignment horizontal="left" vertical="center"/>
      <protection hidden="1"/>
    </xf>
    <xf numFmtId="0" fontId="7" fillId="0" borderId="57" xfId="0" applyFont="1" applyBorder="1" applyAlignment="1" applyProtection="1">
      <alignment horizontal="center" vertical="center"/>
      <protection hidden="1"/>
    </xf>
    <xf numFmtId="0" fontId="7" fillId="0" borderId="58" xfId="0" applyFont="1" applyBorder="1" applyAlignment="1" applyProtection="1">
      <alignment horizontal="center" vertical="center"/>
      <protection hidden="1"/>
    </xf>
    <xf numFmtId="0" fontId="7" fillId="0" borderId="59" xfId="0" applyFont="1" applyBorder="1" applyAlignment="1" applyProtection="1">
      <alignment horizontal="center" vertical="center"/>
      <protection hidden="1"/>
    </xf>
    <xf numFmtId="164" fontId="3" fillId="0" borderId="85" xfId="2" applyNumberFormat="1" applyFont="1" applyFill="1" applyBorder="1" applyAlignment="1" applyProtection="1">
      <alignment horizontal="center" vertical="center"/>
      <protection locked="0"/>
    </xf>
    <xf numFmtId="164" fontId="3" fillId="0" borderId="67" xfId="2" applyNumberFormat="1" applyFont="1" applyFill="1" applyBorder="1" applyAlignment="1" applyProtection="1">
      <alignment horizontal="center" vertical="center"/>
      <protection locked="0"/>
    </xf>
    <xf numFmtId="164" fontId="3" fillId="0" borderId="92" xfId="2" applyNumberFormat="1" applyFont="1" applyFill="1" applyBorder="1" applyAlignment="1" applyProtection="1">
      <alignment horizontal="center" vertical="center"/>
      <protection locked="0"/>
    </xf>
    <xf numFmtId="4" fontId="22" fillId="0" borderId="27" xfId="0" applyNumberFormat="1" applyFont="1" applyBorder="1" applyAlignment="1">
      <alignment horizontal="center"/>
    </xf>
    <xf numFmtId="4" fontId="22" fillId="0" borderId="75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4" xfId="0" applyFont="1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52" fillId="0" borderId="9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52" fillId="0" borderId="14" xfId="0" applyFont="1" applyBorder="1" applyAlignment="1">
      <alignment horizontal="center"/>
    </xf>
    <xf numFmtId="4" fontId="22" fillId="4" borderId="47" xfId="0" applyNumberFormat="1" applyFont="1" applyFill="1" applyBorder="1" applyAlignment="1">
      <alignment horizontal="center"/>
    </xf>
    <xf numFmtId="4" fontId="22" fillId="0" borderId="21" xfId="0" applyNumberFormat="1" applyFont="1" applyBorder="1" applyAlignment="1">
      <alignment horizontal="center"/>
    </xf>
    <xf numFmtId="4" fontId="22" fillId="0" borderId="8" xfId="0" applyNumberFormat="1" applyFont="1" applyBorder="1" applyAlignment="1">
      <alignment horizontal="center"/>
    </xf>
    <xf numFmtId="4" fontId="22" fillId="0" borderId="13" xfId="0" applyNumberFormat="1" applyFont="1" applyBorder="1" applyAlignment="1">
      <alignment horizontal="center"/>
    </xf>
    <xf numFmtId="4" fontId="22" fillId="0" borderId="57" xfId="0" applyNumberFormat="1" applyFont="1" applyBorder="1" applyAlignment="1">
      <alignment horizontal="center"/>
    </xf>
    <xf numFmtId="4" fontId="22" fillId="0" borderId="58" xfId="0" applyNumberFormat="1" applyFont="1" applyBorder="1" applyAlignment="1">
      <alignment horizontal="center"/>
    </xf>
    <xf numFmtId="4" fontId="22" fillId="0" borderId="59" xfId="0" applyNumberFormat="1" applyFont="1" applyBorder="1" applyAlignment="1">
      <alignment horizontal="center"/>
    </xf>
    <xf numFmtId="4" fontId="22" fillId="0" borderId="60" xfId="0" applyNumberFormat="1" applyFont="1" applyBorder="1" applyAlignment="1">
      <alignment horizontal="center"/>
    </xf>
    <xf numFmtId="4" fontId="22" fillId="0" borderId="91" xfId="0" applyNumberFormat="1" applyFont="1" applyBorder="1" applyAlignment="1">
      <alignment horizontal="center"/>
    </xf>
    <xf numFmtId="4" fontId="22" fillId="0" borderId="93" xfId="0" applyNumberFormat="1" applyFont="1" applyBorder="1" applyAlignment="1">
      <alignment horizontal="center"/>
    </xf>
    <xf numFmtId="4" fontId="22" fillId="0" borderId="78" xfId="0" applyNumberFormat="1" applyFont="1" applyBorder="1" applyAlignment="1">
      <alignment horizontal="center"/>
    </xf>
    <xf numFmtId="0" fontId="0" fillId="0" borderId="64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87" xfId="0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75" xfId="0" applyFont="1" applyBorder="1" applyAlignment="1">
      <alignment horizontal="center"/>
    </xf>
    <xf numFmtId="4" fontId="22" fillId="0" borderId="64" xfId="0" applyNumberFormat="1" applyFont="1" applyBorder="1" applyAlignment="1">
      <alignment horizontal="center"/>
    </xf>
    <xf numFmtId="4" fontId="22" fillId="0" borderId="53" xfId="0" applyNumberFormat="1" applyFont="1" applyBorder="1" applyAlignment="1">
      <alignment horizontal="center"/>
    </xf>
    <xf numFmtId="2" fontId="22" fillId="0" borderId="61" xfId="0" applyNumberFormat="1" applyFont="1" applyBorder="1" applyAlignment="1">
      <alignment horizontal="center"/>
    </xf>
    <xf numFmtId="2" fontId="22" fillId="0" borderId="87" xfId="0" applyNumberFormat="1" applyFont="1" applyBorder="1" applyAlignment="1">
      <alignment horizontal="center"/>
    </xf>
    <xf numFmtId="4" fontId="22" fillId="4" borderId="21" xfId="0" applyNumberFormat="1" applyFont="1" applyFill="1" applyBorder="1" applyAlignment="1">
      <alignment horizontal="center"/>
    </xf>
    <xf numFmtId="4" fontId="22" fillId="4" borderId="75" xfId="0" applyNumberFormat="1" applyFont="1" applyFill="1" applyBorder="1" applyAlignment="1">
      <alignment horizontal="center"/>
    </xf>
    <xf numFmtId="0" fontId="55" fillId="0" borderId="39" xfId="0" applyFont="1" applyBorder="1" applyAlignment="1" applyProtection="1">
      <alignment horizontal="center" vertical="center"/>
      <protection hidden="1"/>
    </xf>
    <xf numFmtId="0" fontId="55" fillId="0" borderId="28" xfId="0" applyFont="1" applyBorder="1" applyAlignment="1" applyProtection="1">
      <alignment horizontal="center" vertical="center"/>
      <protection hidden="1"/>
    </xf>
    <xf numFmtId="0" fontId="4" fillId="6" borderId="39" xfId="0" applyFont="1" applyFill="1" applyBorder="1" applyAlignment="1">
      <alignment horizontal="center"/>
    </xf>
    <xf numFmtId="0" fontId="4" fillId="6" borderId="28" xfId="0" applyFont="1" applyFill="1" applyBorder="1" applyAlignment="1">
      <alignment horizontal="center"/>
    </xf>
    <xf numFmtId="0" fontId="14" fillId="46" borderId="57" xfId="0" applyFont="1" applyFill="1" applyBorder="1" applyAlignment="1">
      <alignment horizontal="center" vertical="center" wrapText="1"/>
    </xf>
    <xf numFmtId="0" fontId="14" fillId="46" borderId="58" xfId="0" applyFont="1" applyFill="1" applyBorder="1" applyAlignment="1">
      <alignment horizontal="center" vertical="center" wrapText="1"/>
    </xf>
    <xf numFmtId="0" fontId="14" fillId="46" borderId="59" xfId="0" applyFont="1" applyFill="1" applyBorder="1" applyAlignment="1">
      <alignment horizontal="center" vertical="center" wrapText="1"/>
    </xf>
    <xf numFmtId="0" fontId="65" fillId="0" borderId="76" xfId="0" applyFont="1" applyBorder="1" applyAlignment="1">
      <alignment horizontal="center"/>
    </xf>
    <xf numFmtId="0" fontId="65" fillId="0" borderId="40" xfId="0" applyFont="1" applyBorder="1" applyAlignment="1">
      <alignment horizontal="center"/>
    </xf>
    <xf numFmtId="0" fontId="65" fillId="0" borderId="39" xfId="0" applyFont="1" applyBorder="1" applyAlignment="1">
      <alignment horizontal="center"/>
    </xf>
    <xf numFmtId="0" fontId="65" fillId="0" borderId="28" xfId="0" applyFont="1" applyBorder="1" applyAlignment="1">
      <alignment horizontal="center"/>
    </xf>
    <xf numFmtId="0" fontId="55" fillId="0" borderId="39" xfId="0" applyFont="1" applyBorder="1" applyAlignment="1" applyProtection="1">
      <alignment horizontal="left" vertical="center"/>
      <protection hidden="1"/>
    </xf>
    <xf numFmtId="0" fontId="55" fillId="0" borderId="28" xfId="0" applyFont="1" applyBorder="1" applyAlignment="1" applyProtection="1">
      <alignment horizontal="left" vertical="center"/>
      <protection hidden="1"/>
    </xf>
    <xf numFmtId="0" fontId="57" fillId="0" borderId="40" xfId="0" applyFont="1" applyBorder="1" applyAlignment="1">
      <alignment horizontal="center"/>
    </xf>
    <xf numFmtId="0" fontId="66" fillId="0" borderId="28" xfId="0" applyFont="1" applyBorder="1" applyAlignment="1" applyProtection="1">
      <alignment horizontal="center"/>
      <protection hidden="1"/>
    </xf>
    <xf numFmtId="0" fontId="60" fillId="0" borderId="31" xfId="0" applyFont="1" applyBorder="1" applyAlignment="1">
      <alignment horizontal="center" vertical="center"/>
    </xf>
    <xf numFmtId="0" fontId="60" fillId="0" borderId="92" xfId="0" applyFont="1" applyBorder="1" applyAlignment="1">
      <alignment horizontal="center" vertical="center"/>
    </xf>
    <xf numFmtId="0" fontId="60" fillId="0" borderId="73" xfId="0" applyFont="1" applyBorder="1" applyAlignment="1">
      <alignment horizontal="center" vertical="center" wrapText="1"/>
    </xf>
    <xf numFmtId="0" fontId="60" fillId="0" borderId="72" xfId="0" applyFont="1" applyBorder="1" applyAlignment="1">
      <alignment horizontal="center" vertical="center" wrapText="1"/>
    </xf>
    <xf numFmtId="0" fontId="60" fillId="0" borderId="86" xfId="0" applyFont="1" applyBorder="1" applyAlignment="1">
      <alignment horizontal="center" vertical="center" wrapText="1"/>
    </xf>
    <xf numFmtId="0" fontId="60" fillId="0" borderId="23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6" fillId="6" borderId="8" xfId="0" applyFont="1" applyFill="1" applyBorder="1" applyAlignment="1">
      <alignment horizontal="center" vertical="center" wrapText="1"/>
    </xf>
    <xf numFmtId="0" fontId="56" fillId="6" borderId="13" xfId="0" applyFont="1" applyFill="1" applyBorder="1" applyAlignment="1">
      <alignment horizontal="center" vertical="center"/>
    </xf>
    <xf numFmtId="0" fontId="56" fillId="6" borderId="9" xfId="0" applyFont="1" applyFill="1" applyBorder="1" applyAlignment="1">
      <alignment horizontal="center" vertical="center"/>
    </xf>
    <xf numFmtId="0" fontId="56" fillId="6" borderId="14" xfId="0" applyFont="1" applyFill="1" applyBorder="1" applyAlignment="1">
      <alignment horizontal="center" vertical="center"/>
    </xf>
    <xf numFmtId="0" fontId="56" fillId="6" borderId="10" xfId="0" applyFont="1" applyFill="1" applyBorder="1" applyAlignment="1">
      <alignment horizontal="center" vertical="center"/>
    </xf>
    <xf numFmtId="0" fontId="56" fillId="6" borderId="15" xfId="0" applyFont="1" applyFill="1" applyBorder="1" applyAlignment="1">
      <alignment horizontal="center" vertical="center"/>
    </xf>
    <xf numFmtId="0" fontId="70" fillId="0" borderId="83" xfId="0" applyFont="1" applyBorder="1" applyAlignment="1">
      <alignment horizontal="center" vertical="center" textRotation="90"/>
    </xf>
    <xf numFmtId="0" fontId="70" fillId="0" borderId="82" xfId="0" applyFont="1" applyBorder="1" applyAlignment="1">
      <alignment horizontal="center" vertical="center" textRotation="90"/>
    </xf>
    <xf numFmtId="0" fontId="70" fillId="0" borderId="80" xfId="0" applyFont="1" applyBorder="1" applyAlignment="1">
      <alignment horizontal="center" vertical="center" textRotation="90"/>
    </xf>
    <xf numFmtId="0" fontId="61" fillId="0" borderId="58" xfId="0" applyFont="1" applyBorder="1" applyAlignment="1">
      <alignment horizontal="left" vertical="center"/>
    </xf>
    <xf numFmtId="0" fontId="61" fillId="0" borderId="81" xfId="0" applyFont="1" applyBorder="1" applyAlignment="1">
      <alignment horizontal="left" vertical="center"/>
    </xf>
    <xf numFmtId="0" fontId="61" fillId="0" borderId="67" xfId="0" applyFont="1" applyBorder="1" applyAlignment="1">
      <alignment horizontal="left" vertical="center"/>
    </xf>
    <xf numFmtId="0" fontId="61" fillId="0" borderId="32" xfId="0" applyFont="1" applyBorder="1" applyAlignment="1">
      <alignment horizontal="left" vertical="center"/>
    </xf>
    <xf numFmtId="0" fontId="61" fillId="0" borderId="12" xfId="0" applyFont="1" applyBorder="1" applyAlignment="1">
      <alignment horizontal="left" vertical="center"/>
    </xf>
    <xf numFmtId="0" fontId="61" fillId="0" borderId="42" xfId="0" applyFont="1" applyBorder="1" applyAlignment="1">
      <alignment horizontal="left" vertical="center"/>
    </xf>
    <xf numFmtId="0" fontId="61" fillId="0" borderId="85" xfId="0" applyFont="1" applyBorder="1" applyAlignment="1">
      <alignment horizontal="left" vertical="center" wrapText="1"/>
    </xf>
    <xf numFmtId="0" fontId="61" fillId="0" borderId="32" xfId="0" applyFont="1" applyBorder="1" applyAlignment="1">
      <alignment horizontal="left" vertical="center" wrapText="1"/>
    </xf>
    <xf numFmtId="0" fontId="31" fillId="0" borderId="83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77" fillId="9" borderId="0" xfId="0" applyFont="1" applyFill="1" applyAlignment="1">
      <alignment horizontal="center" wrapText="1"/>
    </xf>
    <xf numFmtId="0" fontId="61" fillId="0" borderId="28" xfId="0" applyFont="1" applyBorder="1" applyAlignment="1">
      <alignment horizontal="left" vertical="center" wrapText="1"/>
    </xf>
    <xf numFmtId="165" fontId="39" fillId="25" borderId="9" xfId="0" applyNumberFormat="1" applyFont="1" applyFill="1" applyBorder="1" applyAlignment="1">
      <alignment horizontal="center" vertical="center" wrapText="1"/>
    </xf>
    <xf numFmtId="165" fontId="39" fillId="25" borderId="0" xfId="0" applyNumberFormat="1" applyFont="1" applyFill="1" applyAlignment="1">
      <alignment horizontal="center" vertical="center" wrapText="1"/>
    </xf>
    <xf numFmtId="0" fontId="0" fillId="9" borderId="0" xfId="0" applyFill="1" applyAlignment="1">
      <alignment horizontal="center"/>
    </xf>
    <xf numFmtId="0" fontId="4" fillId="5" borderId="16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/>
    </xf>
    <xf numFmtId="0" fontId="4" fillId="5" borderId="18" xfId="0" applyFont="1" applyFill="1" applyBorder="1" applyAlignment="1">
      <alignment horizontal="center" vertical="center"/>
    </xf>
    <xf numFmtId="0" fontId="61" fillId="0" borderId="47" xfId="0" applyFont="1" applyBorder="1" applyAlignment="1">
      <alignment horizontal="right" vertical="center"/>
    </xf>
    <xf numFmtId="0" fontId="61" fillId="0" borderId="47" xfId="0" applyFont="1" applyBorder="1" applyAlignment="1">
      <alignment horizontal="center" vertical="center" wrapText="1"/>
    </xf>
    <xf numFmtId="0" fontId="61" fillId="0" borderId="47" xfId="0" applyFont="1" applyBorder="1" applyAlignment="1">
      <alignment horizontal="center" vertical="center"/>
    </xf>
    <xf numFmtId="0" fontId="70" fillId="0" borderId="39" xfId="0" applyFont="1" applyBorder="1" applyAlignment="1">
      <alignment horizontal="center" vertical="center" textRotation="90"/>
    </xf>
    <xf numFmtId="0" fontId="61" fillId="0" borderId="73" xfId="0" applyFont="1" applyBorder="1" applyAlignment="1">
      <alignment horizontal="center" vertical="center" wrapText="1"/>
    </xf>
    <xf numFmtId="0" fontId="61" fillId="0" borderId="72" xfId="0" applyFont="1" applyBorder="1" applyAlignment="1">
      <alignment horizontal="center" vertical="center" wrapText="1"/>
    </xf>
    <xf numFmtId="0" fontId="19" fillId="46" borderId="86" xfId="0" applyFont="1" applyFill="1" applyBorder="1" applyAlignment="1">
      <alignment horizontal="center" vertical="center"/>
    </xf>
    <xf numFmtId="0" fontId="19" fillId="46" borderId="23" xfId="0" applyFont="1" applyFill="1" applyBorder="1" applyAlignment="1">
      <alignment horizontal="center" vertical="center"/>
    </xf>
    <xf numFmtId="0" fontId="106" fillId="0" borderId="11" xfId="0" applyFont="1" applyBorder="1" applyAlignment="1">
      <alignment horizontal="center"/>
    </xf>
    <xf numFmtId="0" fontId="106" fillId="0" borderId="56" xfId="0" applyFont="1" applyBorder="1" applyAlignment="1">
      <alignment horizontal="center"/>
    </xf>
    <xf numFmtId="0" fontId="103" fillId="0" borderId="8" xfId="0" applyFont="1" applyBorder="1" applyAlignment="1">
      <alignment horizontal="center"/>
    </xf>
    <xf numFmtId="0" fontId="103" fillId="0" borderId="11" xfId="0" applyFont="1" applyBorder="1" applyAlignment="1">
      <alignment horizontal="center"/>
    </xf>
    <xf numFmtId="0" fontId="103" fillId="0" borderId="13" xfId="0" applyFont="1" applyBorder="1" applyAlignment="1">
      <alignment horizontal="center"/>
    </xf>
    <xf numFmtId="0" fontId="103" fillId="0" borderId="9" xfId="0" applyFont="1" applyBorder="1" applyAlignment="1">
      <alignment horizontal="center"/>
    </xf>
    <xf numFmtId="0" fontId="103" fillId="0" borderId="0" xfId="0" applyFont="1" applyAlignment="1">
      <alignment horizontal="center"/>
    </xf>
    <xf numFmtId="0" fontId="103" fillId="0" borderId="14" xfId="0" applyFont="1" applyBorder="1" applyAlignment="1">
      <alignment horizontal="center"/>
    </xf>
    <xf numFmtId="0" fontId="21" fillId="0" borderId="9" xfId="0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hidden="1"/>
    </xf>
    <xf numFmtId="0" fontId="21" fillId="0" borderId="14" xfId="0" applyFont="1" applyBorder="1" applyAlignment="1" applyProtection="1">
      <alignment horizontal="center" vertical="center" wrapText="1"/>
      <protection hidden="1"/>
    </xf>
    <xf numFmtId="4" fontId="3" fillId="0" borderId="27" xfId="0" applyNumberFormat="1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75" xfId="0" applyNumberFormat="1" applyFont="1" applyBorder="1" applyAlignment="1">
      <alignment horizontal="center" vertical="center" wrapText="1"/>
    </xf>
    <xf numFmtId="0" fontId="107" fillId="0" borderId="83" xfId="0" applyFont="1" applyBorder="1" applyAlignment="1">
      <alignment horizontal="center" vertical="center" textRotation="90"/>
    </xf>
    <xf numFmtId="0" fontId="107" fillId="0" borderId="82" xfId="0" applyFont="1" applyBorder="1" applyAlignment="1">
      <alignment horizontal="center" vertical="center" textRotation="90"/>
    </xf>
    <xf numFmtId="0" fontId="107" fillId="0" borderId="80" xfId="0" applyFont="1" applyBorder="1" applyAlignment="1">
      <alignment horizontal="center" vertical="center" textRotation="90"/>
    </xf>
    <xf numFmtId="0" fontId="105" fillId="0" borderId="55" xfId="0" applyFont="1" applyBorder="1" applyAlignment="1">
      <alignment horizontal="left" vertical="center"/>
    </xf>
    <xf numFmtId="0" fontId="105" fillId="0" borderId="63" xfId="0" applyFont="1" applyBorder="1" applyAlignment="1">
      <alignment horizontal="left" vertical="center"/>
    </xf>
    <xf numFmtId="0" fontId="105" fillId="0" borderId="67" xfId="0" applyFont="1" applyBorder="1" applyAlignment="1">
      <alignment horizontal="left" vertical="center"/>
    </xf>
    <xf numFmtId="0" fontId="105" fillId="0" borderId="32" xfId="0" applyFont="1" applyBorder="1" applyAlignment="1">
      <alignment horizontal="left" vertical="center"/>
    </xf>
    <xf numFmtId="0" fontId="105" fillId="0" borderId="65" xfId="0" applyFont="1" applyBorder="1" applyAlignment="1">
      <alignment horizontal="left" vertical="center"/>
    </xf>
    <xf numFmtId="0" fontId="105" fillId="0" borderId="53" xfId="0" applyFont="1" applyBorder="1" applyAlignment="1">
      <alignment horizontal="left" vertical="center"/>
    </xf>
    <xf numFmtId="0" fontId="2" fillId="0" borderId="8" xfId="0" applyFont="1" applyBorder="1" applyAlignment="1" applyProtection="1">
      <alignment horizontal="right" vertical="center"/>
      <protection hidden="1"/>
    </xf>
    <xf numFmtId="0" fontId="2" fillId="0" borderId="13" xfId="0" applyFont="1" applyBorder="1" applyAlignment="1" applyProtection="1">
      <alignment horizontal="right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30" fillId="6" borderId="27" xfId="0" applyFont="1" applyFill="1" applyBorder="1" applyAlignment="1">
      <alignment horizontal="center"/>
    </xf>
    <xf numFmtId="0" fontId="30" fillId="6" borderId="75" xfId="0" applyFont="1" applyFill="1" applyBorder="1" applyAlignment="1">
      <alignment horizontal="center"/>
    </xf>
    <xf numFmtId="0" fontId="104" fillId="0" borderId="83" xfId="0" applyFont="1" applyBorder="1" applyAlignment="1">
      <alignment horizontal="center" vertical="center" textRotation="90"/>
    </xf>
    <xf numFmtId="0" fontId="104" fillId="0" borderId="82" xfId="0" applyFont="1" applyBorder="1" applyAlignment="1">
      <alignment horizontal="center" vertical="center" textRotation="90"/>
    </xf>
    <xf numFmtId="0" fontId="104" fillId="0" borderId="80" xfId="0" applyFont="1" applyBorder="1" applyAlignment="1">
      <alignment horizontal="center" vertical="center" textRotation="90"/>
    </xf>
    <xf numFmtId="0" fontId="32" fillId="6" borderId="8" xfId="0" applyFont="1" applyFill="1" applyBorder="1" applyAlignment="1">
      <alignment horizontal="center" vertical="center"/>
    </xf>
    <xf numFmtId="0" fontId="32" fillId="6" borderId="11" xfId="0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/>
    </xf>
    <xf numFmtId="0" fontId="32" fillId="6" borderId="10" xfId="0" applyFont="1" applyFill="1" applyBorder="1" applyAlignment="1">
      <alignment horizontal="center" vertical="center"/>
    </xf>
    <xf numFmtId="0" fontId="32" fillId="6" borderId="12" xfId="0" applyFont="1" applyFill="1" applyBorder="1" applyAlignment="1">
      <alignment horizontal="center" vertical="center"/>
    </xf>
    <xf numFmtId="0" fontId="32" fillId="6" borderId="15" xfId="0" applyFont="1" applyFill="1" applyBorder="1" applyAlignment="1">
      <alignment horizontal="center" vertical="center"/>
    </xf>
    <xf numFmtId="0" fontId="32" fillId="6" borderId="0" xfId="0" applyFont="1" applyFill="1" applyAlignment="1">
      <alignment horizontal="center" vertical="center"/>
    </xf>
    <xf numFmtId="0" fontId="32" fillId="6" borderId="14" xfId="0" applyFont="1" applyFill="1" applyBorder="1" applyAlignment="1">
      <alignment horizontal="center" vertical="center"/>
    </xf>
    <xf numFmtId="0" fontId="107" fillId="0" borderId="10" xfId="0" applyFont="1" applyBorder="1" applyAlignment="1">
      <alignment horizontal="center" vertical="center"/>
    </xf>
    <xf numFmtId="0" fontId="107" fillId="0" borderId="12" xfId="0" applyFont="1" applyBorder="1" applyAlignment="1">
      <alignment horizontal="center" vertical="center"/>
    </xf>
    <xf numFmtId="0" fontId="107" fillId="0" borderId="4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4" fontId="32" fillId="0" borderId="25" xfId="0" applyNumberFormat="1" applyFont="1" applyBorder="1" applyAlignment="1">
      <alignment horizontal="center" vertical="center"/>
    </xf>
    <xf numFmtId="4" fontId="32" fillId="0" borderId="46" xfId="0" applyNumberFormat="1" applyFont="1" applyBorder="1" applyAlignment="1">
      <alignment horizontal="center" vertical="center"/>
    </xf>
    <xf numFmtId="4" fontId="32" fillId="0" borderId="43" xfId="0" applyNumberFormat="1" applyFont="1" applyBorder="1" applyAlignment="1">
      <alignment horizontal="center" vertical="center"/>
    </xf>
    <xf numFmtId="4" fontId="32" fillId="0" borderId="12" xfId="0" applyNumberFormat="1" applyFont="1" applyBorder="1" applyAlignment="1">
      <alignment horizontal="center" vertical="center"/>
    </xf>
    <xf numFmtId="4" fontId="32" fillId="0" borderId="42" xfId="0" applyNumberFormat="1" applyFont="1" applyBorder="1" applyAlignment="1">
      <alignment horizontal="center" vertical="center"/>
    </xf>
    <xf numFmtId="0" fontId="19" fillId="46" borderId="73" xfId="0" applyFont="1" applyFill="1" applyBorder="1" applyAlignment="1">
      <alignment horizontal="center" vertical="center"/>
    </xf>
    <xf numFmtId="0" fontId="19" fillId="46" borderId="72" xfId="0" applyFont="1" applyFill="1" applyBorder="1" applyAlignment="1">
      <alignment horizontal="center" vertical="center"/>
    </xf>
    <xf numFmtId="0" fontId="111" fillId="0" borderId="76" xfId="0" applyFont="1" applyBorder="1" applyAlignment="1">
      <alignment horizontal="left" vertical="center"/>
    </xf>
    <xf numFmtId="0" fontId="111" fillId="0" borderId="40" xfId="0" applyFont="1" applyBorder="1" applyAlignment="1">
      <alignment horizontal="left" vertical="center"/>
    </xf>
    <xf numFmtId="0" fontId="105" fillId="0" borderId="39" xfId="0" applyFont="1" applyBorder="1" applyAlignment="1">
      <alignment horizontal="left" vertical="center"/>
    </xf>
    <xf numFmtId="0" fontId="105" fillId="0" borderId="28" xfId="0" applyFont="1" applyBorder="1" applyAlignment="1">
      <alignment horizontal="left" vertical="center"/>
    </xf>
    <xf numFmtId="0" fontId="60" fillId="0" borderId="76" xfId="0" applyFont="1" applyBorder="1" applyAlignment="1">
      <alignment horizontal="center" vertical="center"/>
    </xf>
    <xf numFmtId="0" fontId="60" fillId="0" borderId="40" xfId="0" applyFont="1" applyBorder="1" applyAlignment="1">
      <alignment horizontal="center" vertical="center"/>
    </xf>
    <xf numFmtId="0" fontId="60" fillId="0" borderId="41" xfId="0" applyFont="1" applyBorder="1" applyAlignment="1">
      <alignment horizontal="center" vertical="center"/>
    </xf>
    <xf numFmtId="0" fontId="60" fillId="0" borderId="31" xfId="0" applyFont="1" applyBorder="1" applyAlignment="1">
      <alignment horizontal="center"/>
    </xf>
    <xf numFmtId="0" fontId="60" fillId="0" borderId="67" xfId="0" applyFont="1" applyBorder="1" applyAlignment="1">
      <alignment horizontal="center"/>
    </xf>
    <xf numFmtId="0" fontId="60" fillId="0" borderId="32" xfId="0" applyFont="1" applyBorder="1" applyAlignment="1">
      <alignment horizontal="center"/>
    </xf>
    <xf numFmtId="0" fontId="55" fillId="0" borderId="86" xfId="0" applyFont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center" vertical="center" wrapText="1"/>
      <protection hidden="1"/>
    </xf>
    <xf numFmtId="0" fontId="69" fillId="0" borderId="28" xfId="0" applyFont="1" applyBorder="1" applyAlignment="1" applyProtection="1">
      <alignment horizontal="center" vertical="center"/>
      <protection hidden="1"/>
    </xf>
    <xf numFmtId="10" fontId="4" fillId="0" borderId="28" xfId="0" applyNumberFormat="1" applyFont="1" applyBorder="1" applyAlignment="1" applyProtection="1">
      <alignment horizontal="center" vertical="center" wrapText="1"/>
      <protection hidden="1"/>
    </xf>
    <xf numFmtId="0" fontId="4" fillId="0" borderId="86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8" xfId="0" applyFont="1" applyBorder="1" applyAlignment="1" applyProtection="1">
      <alignment horizontal="center" vertical="center"/>
      <protection hidden="1"/>
    </xf>
    <xf numFmtId="0" fontId="62" fillId="0" borderId="85" xfId="0" applyFont="1" applyBorder="1" applyAlignment="1">
      <alignment horizontal="center" vertical="center"/>
    </xf>
    <xf numFmtId="0" fontId="62" fillId="0" borderId="67" xfId="0" applyFont="1" applyBorder="1" applyAlignment="1">
      <alignment horizontal="center" vertical="center"/>
    </xf>
    <xf numFmtId="0" fontId="62" fillId="0" borderId="32" xfId="0" applyFont="1" applyBorder="1" applyAlignment="1">
      <alignment horizontal="center" vertical="center"/>
    </xf>
    <xf numFmtId="0" fontId="0" fillId="4" borderId="0" xfId="0" applyFill="1" applyAlignment="1">
      <alignment horizontal="center" wrapText="1"/>
    </xf>
    <xf numFmtId="0" fontId="57" fillId="0" borderId="8" xfId="0" applyFont="1" applyBorder="1" applyAlignment="1">
      <alignment horizontal="center" vertical="center"/>
    </xf>
    <xf numFmtId="0" fontId="57" fillId="0" borderId="11" xfId="0" applyFont="1" applyBorder="1" applyAlignment="1">
      <alignment horizontal="center" vertical="center"/>
    </xf>
    <xf numFmtId="0" fontId="57" fillId="0" borderId="13" xfId="0" applyFont="1" applyBorder="1" applyAlignment="1">
      <alignment horizontal="center" vertical="center"/>
    </xf>
    <xf numFmtId="0" fontId="57" fillId="0" borderId="9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14" xfId="0" applyFont="1" applyBorder="1" applyAlignment="1">
      <alignment horizontal="center" vertical="center"/>
    </xf>
    <xf numFmtId="0" fontId="4" fillId="0" borderId="39" xfId="0" applyFont="1" applyBorder="1" applyAlignment="1" applyProtection="1">
      <alignment horizontal="center" vertical="center"/>
      <protection hidden="1"/>
    </xf>
    <xf numFmtId="0" fontId="69" fillId="0" borderId="38" xfId="0" applyFont="1" applyBorder="1" applyAlignment="1" applyProtection="1">
      <alignment horizontal="center" vertical="center" wrapText="1"/>
      <protection hidden="1"/>
    </xf>
    <xf numFmtId="0" fontId="69" fillId="0" borderId="38" xfId="0" applyFont="1" applyBorder="1" applyAlignment="1" applyProtection="1">
      <alignment horizontal="center" vertical="center"/>
      <protection hidden="1"/>
    </xf>
    <xf numFmtId="0" fontId="0" fillId="0" borderId="10" xfId="0" applyBorder="1" applyAlignment="1">
      <alignment horizontal="left"/>
    </xf>
    <xf numFmtId="0" fontId="0" fillId="0" borderId="12" xfId="0" applyBorder="1" applyAlignment="1">
      <alignment horizontal="left"/>
    </xf>
    <xf numFmtId="0" fontId="39" fillId="0" borderId="85" xfId="0" applyFont="1" applyBorder="1" applyAlignment="1">
      <alignment horizontal="left" vertical="center" wrapText="1"/>
    </xf>
    <xf numFmtId="0" fontId="39" fillId="0" borderId="67" xfId="0" applyFont="1" applyBorder="1" applyAlignment="1">
      <alignment horizontal="left" vertical="center" wrapText="1"/>
    </xf>
    <xf numFmtId="0" fontId="3" fillId="0" borderId="27" xfId="0" applyFont="1" applyBorder="1" applyAlignment="1" applyProtection="1">
      <alignment horizontal="right" vertical="center"/>
      <protection hidden="1"/>
    </xf>
    <xf numFmtId="0" fontId="3" fillId="0" borderId="21" xfId="0" applyFont="1" applyBorder="1" applyAlignment="1" applyProtection="1">
      <alignment horizontal="right" vertical="center"/>
      <protection hidden="1"/>
    </xf>
    <xf numFmtId="0" fontId="32" fillId="0" borderId="2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2" fontId="32" fillId="0" borderId="22" xfId="0" applyNumberFormat="1" applyFont="1" applyBorder="1" applyAlignment="1">
      <alignment horizontal="center" vertical="center"/>
    </xf>
    <xf numFmtId="2" fontId="32" fillId="0" borderId="23" xfId="0" applyNumberFormat="1" applyFont="1" applyBorder="1" applyAlignment="1">
      <alignment horizontal="center" vertical="center"/>
    </xf>
    <xf numFmtId="0" fontId="39" fillId="0" borderId="60" xfId="0" applyFont="1" applyBorder="1" applyAlignment="1">
      <alignment horizontal="left" vertical="center" wrapText="1"/>
    </xf>
    <xf numFmtId="0" fontId="39" fillId="0" borderId="37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center"/>
    </xf>
    <xf numFmtId="0" fontId="19" fillId="0" borderId="23" xfId="0" applyFont="1" applyBorder="1" applyAlignment="1">
      <alignment horizontal="center"/>
    </xf>
    <xf numFmtId="0" fontId="32" fillId="0" borderId="0" xfId="0" applyFont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93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32" fillId="0" borderId="28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109" fillId="0" borderId="8" xfId="0" applyFont="1" applyBorder="1" applyAlignment="1">
      <alignment horizontal="center"/>
    </xf>
    <xf numFmtId="0" fontId="109" fillId="0" borderId="11" xfId="0" applyFont="1" applyBorder="1" applyAlignment="1">
      <alignment horizontal="center"/>
    </xf>
    <xf numFmtId="0" fontId="109" fillId="0" borderId="13" xfId="0" applyFont="1" applyBorder="1" applyAlignment="1">
      <alignment horizontal="center"/>
    </xf>
    <xf numFmtId="0" fontId="32" fillId="0" borderId="10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5" xfId="0" applyFont="1" applyBorder="1" applyAlignment="1">
      <alignment horizontal="center" vertical="center"/>
    </xf>
    <xf numFmtId="0" fontId="19" fillId="0" borderId="8" xfId="0" applyFont="1" applyBorder="1" applyAlignment="1">
      <alignment horizontal="left"/>
    </xf>
    <xf numFmtId="0" fontId="19" fillId="0" borderId="11" xfId="0" applyFont="1" applyBorder="1" applyAlignment="1">
      <alignment horizontal="left"/>
    </xf>
    <xf numFmtId="0" fontId="19" fillId="0" borderId="13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4" xfId="0" applyFont="1" applyBorder="1" applyAlignment="1">
      <alignment horizontal="left"/>
    </xf>
    <xf numFmtId="0" fontId="3" fillId="0" borderId="23" xfId="0" applyFont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3" fillId="0" borderId="84" xfId="0" applyFont="1" applyBorder="1" applyAlignment="1" applyProtection="1">
      <alignment horizontal="center" vertical="center" wrapText="1"/>
      <protection hidden="1"/>
    </xf>
    <xf numFmtId="0" fontId="3" fillId="0" borderId="102" xfId="0" applyFont="1" applyBorder="1" applyAlignment="1" applyProtection="1">
      <alignment horizontal="center" vertical="center" wrapText="1"/>
      <protection hidden="1"/>
    </xf>
    <xf numFmtId="0" fontId="3" fillId="0" borderId="74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54" xfId="0" applyFont="1" applyBorder="1" applyAlignment="1" applyProtection="1">
      <alignment horizontal="center" vertical="center"/>
      <protection hidden="1"/>
    </xf>
    <xf numFmtId="0" fontId="3" fillId="0" borderId="55" xfId="0" applyFont="1" applyBorder="1" applyAlignment="1" applyProtection="1">
      <alignment horizontal="center" vertical="center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28" xfId="0" applyFont="1" applyBorder="1" applyAlignment="1" applyProtection="1">
      <alignment horizontal="center" vertical="center" wrapText="1"/>
      <protection hidden="1"/>
    </xf>
    <xf numFmtId="10" fontId="3" fillId="0" borderId="23" xfId="0" applyNumberFormat="1" applyFont="1" applyBorder="1" applyAlignment="1" applyProtection="1">
      <alignment horizontal="center" vertical="center" wrapText="1"/>
      <protection hidden="1"/>
    </xf>
    <xf numFmtId="10" fontId="3" fillId="0" borderId="28" xfId="0" applyNumberFormat="1" applyFont="1" applyBorder="1" applyAlignment="1" applyProtection="1">
      <alignment horizontal="center" vertical="center" wrapText="1"/>
      <protection hidden="1"/>
    </xf>
    <xf numFmtId="0" fontId="3" fillId="0" borderId="45" xfId="0" applyFont="1" applyBorder="1" applyAlignment="1" applyProtection="1">
      <alignment horizontal="center" vertical="center"/>
      <protection hidden="1"/>
    </xf>
    <xf numFmtId="0" fontId="3" fillId="0" borderId="97" xfId="0" applyFont="1" applyBorder="1" applyAlignment="1" applyProtection="1">
      <alignment horizontal="center" vertical="center"/>
      <protection hidden="1"/>
    </xf>
    <xf numFmtId="0" fontId="3" fillId="0" borderId="86" xfId="0" applyFont="1" applyBorder="1" applyAlignment="1" applyProtection="1">
      <alignment horizontal="center" vertical="center" wrapText="1"/>
      <protection hidden="1"/>
    </xf>
    <xf numFmtId="0" fontId="3" fillId="0" borderId="86" xfId="0" applyFont="1" applyBorder="1" applyAlignment="1" applyProtection="1">
      <alignment horizontal="center" vertical="center"/>
      <protection hidden="1"/>
    </xf>
    <xf numFmtId="0" fontId="26" fillId="0" borderId="0" xfId="0" applyFont="1" applyAlignment="1">
      <alignment horizontal="right" wrapText="1"/>
    </xf>
    <xf numFmtId="0" fontId="26" fillId="0" borderId="14" xfId="0" applyFont="1" applyBorder="1" applyAlignment="1">
      <alignment horizontal="right"/>
    </xf>
    <xf numFmtId="0" fontId="24" fillId="0" borderId="8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9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14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9" fillId="0" borderId="21" xfId="0" applyFont="1" applyBorder="1" applyAlignment="1">
      <alignment horizontal="center"/>
    </xf>
    <xf numFmtId="0" fontId="29" fillId="0" borderId="75" xfId="0" applyFont="1" applyBorder="1" applyAlignment="1">
      <alignment horizontal="center"/>
    </xf>
    <xf numFmtId="0" fontId="29" fillId="0" borderId="71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72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wrapText="1"/>
    </xf>
    <xf numFmtId="0" fontId="29" fillId="0" borderId="56" xfId="0" applyFont="1" applyBorder="1" applyAlignment="1">
      <alignment horizontal="center" vertical="center" wrapText="1"/>
    </xf>
    <xf numFmtId="0" fontId="29" fillId="0" borderId="49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29" fillId="0" borderId="88" xfId="0" applyFont="1" applyBorder="1" applyAlignment="1">
      <alignment horizontal="center" vertical="center" wrapText="1"/>
    </xf>
    <xf numFmtId="0" fontId="29" fillId="0" borderId="111" xfId="0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63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74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0" fillId="0" borderId="111" xfId="0" applyBorder="1" applyAlignment="1">
      <alignment horizontal="center" vertical="center" wrapText="1"/>
    </xf>
    <xf numFmtId="0" fontId="29" fillId="0" borderId="8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11" xfId="0" applyFont="1" applyBorder="1" applyAlignment="1">
      <alignment horizontal="center" vertical="center"/>
    </xf>
    <xf numFmtId="0" fontId="0" fillId="0" borderId="88" xfId="0" applyBorder="1" applyAlignment="1">
      <alignment horizontal="center" vertical="center" wrapText="1"/>
    </xf>
    <xf numFmtId="0" fontId="0" fillId="0" borderId="89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53" fillId="0" borderId="28" xfId="0" applyFont="1" applyBorder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98" fillId="44" borderId="0" xfId="126" applyFont="1" applyFill="1" applyAlignment="1">
      <alignment horizontal="right" vertical="top" wrapText="1"/>
    </xf>
    <xf numFmtId="0" fontId="97" fillId="0" borderId="0" xfId="126"/>
    <xf numFmtId="0" fontId="99" fillId="44" borderId="0" xfId="126" applyFont="1" applyFill="1" applyAlignment="1">
      <alignment horizontal="right" vertical="top" wrapText="1"/>
    </xf>
    <xf numFmtId="0" fontId="99" fillId="44" borderId="0" xfId="126" applyFont="1" applyFill="1" applyAlignment="1">
      <alignment horizontal="left" vertical="top" wrapText="1"/>
    </xf>
    <xf numFmtId="4" fontId="99" fillId="44" borderId="0" xfId="126" applyNumberFormat="1" applyFont="1" applyFill="1" applyAlignment="1">
      <alignment horizontal="right" vertical="top" wrapText="1"/>
    </xf>
    <xf numFmtId="0" fontId="98" fillId="44" borderId="0" xfId="126" applyFont="1" applyFill="1" applyAlignment="1">
      <alignment horizontal="center" vertical="top" wrapText="1"/>
    </xf>
    <xf numFmtId="0" fontId="100" fillId="44" borderId="0" xfId="126" applyFont="1" applyFill="1" applyAlignment="1">
      <alignment horizontal="left" vertical="top" wrapText="1"/>
    </xf>
    <xf numFmtId="0" fontId="100" fillId="44" borderId="0" xfId="126" applyFont="1" applyFill="1" applyAlignment="1">
      <alignment horizontal="center" wrapText="1"/>
    </xf>
    <xf numFmtId="0" fontId="100" fillId="44" borderId="112" xfId="126" applyFont="1" applyFill="1" applyBorder="1" applyAlignment="1">
      <alignment horizontal="right" vertical="top" wrapText="1"/>
    </xf>
    <xf numFmtId="0" fontId="100" fillId="44" borderId="112" xfId="126" applyFont="1" applyFill="1" applyBorder="1" applyAlignment="1">
      <alignment horizontal="center" vertical="top" wrapText="1"/>
    </xf>
    <xf numFmtId="0" fontId="100" fillId="44" borderId="112" xfId="126" applyFont="1" applyFill="1" applyBorder="1" applyAlignment="1">
      <alignment horizontal="left" vertical="top" wrapText="1"/>
    </xf>
    <xf numFmtId="0" fontId="0" fillId="0" borderId="39" xfId="0" applyBorder="1" applyAlignment="1">
      <alignment horizontal="center"/>
    </xf>
    <xf numFmtId="0" fontId="29" fillId="0" borderId="12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/>
    </xf>
    <xf numFmtId="0" fontId="76" fillId="0" borderId="0" xfId="0" applyFont="1" applyAlignment="1">
      <alignment horizontal="left"/>
    </xf>
    <xf numFmtId="0" fontId="29" fillId="0" borderId="16" xfId="0" applyFont="1" applyBorder="1" applyAlignment="1">
      <alignment horizontal="center"/>
    </xf>
    <xf numFmtId="0" fontId="29" fillId="0" borderId="17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72" xfId="0" applyBorder="1" applyAlignment="1">
      <alignment horizontal="center"/>
    </xf>
    <xf numFmtId="0" fontId="0" fillId="0" borderId="23" xfId="0" applyBorder="1" applyAlignment="1">
      <alignment horizontal="center"/>
    </xf>
    <xf numFmtId="0" fontId="29" fillId="0" borderId="39" xfId="0" applyFont="1" applyBorder="1" applyAlignment="1">
      <alignment horizontal="right"/>
    </xf>
    <xf numFmtId="0" fontId="29" fillId="0" borderId="28" xfId="0" applyFont="1" applyBorder="1" applyAlignment="1">
      <alignment horizontal="right"/>
    </xf>
    <xf numFmtId="0" fontId="29" fillId="0" borderId="31" xfId="0" applyFont="1" applyBorder="1" applyAlignment="1">
      <alignment horizontal="right"/>
    </xf>
    <xf numFmtId="0" fontId="29" fillId="0" borderId="64" xfId="0" applyFont="1" applyBorder="1" applyAlignment="1">
      <alignment horizontal="center"/>
    </xf>
    <xf numFmtId="0" fontId="29" fillId="0" borderId="65" xfId="0" applyFont="1" applyBorder="1" applyAlignment="1">
      <alignment horizontal="center"/>
    </xf>
    <xf numFmtId="0" fontId="29" fillId="0" borderId="53" xfId="0" applyFont="1" applyBorder="1" applyAlignment="1">
      <alignment horizontal="center"/>
    </xf>
    <xf numFmtId="0" fontId="0" fillId="0" borderId="85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32" xfId="0" applyBorder="1" applyAlignment="1">
      <alignment horizontal="center"/>
    </xf>
    <xf numFmtId="0" fontId="102" fillId="0" borderId="0" xfId="4" applyFont="1" applyAlignment="1">
      <alignment horizontal="right" vertical="center"/>
    </xf>
    <xf numFmtId="0" fontId="41" fillId="0" borderId="0" xfId="4" applyFont="1" applyAlignment="1">
      <alignment horizontal="right"/>
    </xf>
    <xf numFmtId="0" fontId="112" fillId="0" borderId="0" xfId="4" applyFont="1" applyAlignment="1">
      <alignment horizontal="right"/>
    </xf>
    <xf numFmtId="0" fontId="73" fillId="0" borderId="0" xfId="4" applyFont="1" applyAlignment="1">
      <alignment horizontal="right"/>
    </xf>
    <xf numFmtId="0" fontId="35" fillId="0" borderId="0" xfId="3" applyFont="1" applyAlignment="1">
      <alignment horizontal="right" vertical="center"/>
    </xf>
    <xf numFmtId="0" fontId="20" fillId="0" borderId="0" xfId="3" applyFont="1" applyAlignment="1">
      <alignment horizontal="right" vertical="center"/>
    </xf>
    <xf numFmtId="0" fontId="55" fillId="0" borderId="40" xfId="3" applyFont="1" applyBorder="1" applyAlignment="1">
      <alignment horizontal="left" vertical="center" wrapText="1"/>
    </xf>
    <xf numFmtId="0" fontId="37" fillId="0" borderId="40" xfId="3" applyFont="1" applyBorder="1" applyAlignment="1">
      <alignment horizontal="left" vertical="center" wrapText="1"/>
    </xf>
    <xf numFmtId="0" fontId="37" fillId="0" borderId="41" xfId="3" applyFont="1" applyBorder="1" applyAlignment="1">
      <alignment horizontal="left" vertical="center" wrapText="1"/>
    </xf>
    <xf numFmtId="49" fontId="39" fillId="0" borderId="9" xfId="3" applyNumberFormat="1" applyFont="1" applyBorder="1" applyAlignment="1">
      <alignment horizontal="center" vertical="center"/>
    </xf>
    <xf numFmtId="49" fontId="39" fillId="0" borderId="0" xfId="3" applyNumberFormat="1" applyFont="1" applyBorder="1" applyAlignment="1">
      <alignment horizontal="center" vertical="center"/>
    </xf>
    <xf numFmtId="4" fontId="1" fillId="0" borderId="28" xfId="4" applyNumberFormat="1" applyFont="1" applyBorder="1" applyAlignment="1">
      <alignment horizontal="center" vertical="center"/>
    </xf>
    <xf numFmtId="0" fontId="1" fillId="0" borderId="88" xfId="3" applyBorder="1" applyAlignment="1">
      <alignment horizontal="center"/>
    </xf>
    <xf numFmtId="0" fontId="1" fillId="0" borderId="0" xfId="3" applyBorder="1" applyAlignment="1">
      <alignment horizontal="center"/>
    </xf>
    <xf numFmtId="0" fontId="1" fillId="0" borderId="111" xfId="3" applyBorder="1" applyAlignment="1">
      <alignment horizontal="center"/>
    </xf>
    <xf numFmtId="0" fontId="37" fillId="0" borderId="39" xfId="3" applyFont="1" applyBorder="1" applyAlignment="1">
      <alignment horizontal="center" vertical="center"/>
    </xf>
    <xf numFmtId="0" fontId="37" fillId="0" borderId="28" xfId="3" applyFont="1" applyBorder="1" applyAlignment="1">
      <alignment horizontal="center" vertical="center"/>
    </xf>
    <xf numFmtId="0" fontId="37" fillId="0" borderId="39" xfId="3" applyFont="1" applyBorder="1" applyAlignment="1">
      <alignment horizontal="center"/>
    </xf>
    <xf numFmtId="0" fontId="37" fillId="0" borderId="28" xfId="3" applyFont="1" applyBorder="1" applyAlignment="1">
      <alignment horizontal="center"/>
    </xf>
    <xf numFmtId="0" fontId="37" fillId="0" borderId="38" xfId="3" applyFont="1" applyBorder="1" applyAlignment="1">
      <alignment horizontal="center"/>
    </xf>
    <xf numFmtId="0" fontId="20" fillId="0" borderId="39" xfId="4" applyFont="1" applyBorder="1" applyAlignment="1">
      <alignment horizontal="center" vertical="center"/>
    </xf>
    <xf numFmtId="0" fontId="20" fillId="0" borderId="28" xfId="4" applyFont="1" applyBorder="1" applyAlignment="1">
      <alignment horizontal="center" vertical="center"/>
    </xf>
    <xf numFmtId="0" fontId="37" fillId="0" borderId="39" xfId="3" applyFont="1" applyBorder="1" applyAlignment="1">
      <alignment horizontal="right"/>
    </xf>
    <xf numFmtId="0" fontId="37" fillId="0" borderId="28" xfId="3" applyFont="1" applyBorder="1" applyAlignment="1">
      <alignment horizontal="right"/>
    </xf>
    <xf numFmtId="0" fontId="37" fillId="0" borderId="28" xfId="4" applyFont="1" applyBorder="1" applyAlignment="1" applyProtection="1">
      <alignment horizontal="center" vertical="center" wrapText="1"/>
      <protection hidden="1"/>
    </xf>
    <xf numFmtId="2" fontId="1" fillId="0" borderId="28" xfId="4" applyNumberFormat="1" applyFont="1" applyBorder="1" applyAlignment="1" applyProtection="1">
      <alignment horizontal="center" vertical="center" wrapText="1"/>
      <protection hidden="1"/>
    </xf>
    <xf numFmtId="0" fontId="37" fillId="0" borderId="88" xfId="4" applyFont="1" applyBorder="1" applyAlignment="1">
      <alignment horizontal="right"/>
    </xf>
    <xf numFmtId="0" fontId="37" fillId="0" borderId="0" xfId="4" applyFont="1" applyBorder="1" applyAlignment="1">
      <alignment horizontal="right"/>
    </xf>
    <xf numFmtId="0" fontId="41" fillId="0" borderId="88" xfId="3" applyFont="1" applyBorder="1" applyAlignment="1">
      <alignment horizontal="center" vertical="center"/>
    </xf>
    <xf numFmtId="0" fontId="41" fillId="0" borderId="0" xfId="3" applyFont="1" applyBorder="1" applyAlignment="1">
      <alignment horizontal="center" vertical="center"/>
    </xf>
    <xf numFmtId="0" fontId="41" fillId="0" borderId="89" xfId="3" applyFont="1" applyBorder="1" applyAlignment="1">
      <alignment horizontal="center" vertical="center"/>
    </xf>
    <xf numFmtId="0" fontId="41" fillId="0" borderId="55" xfId="3" applyFont="1" applyBorder="1" applyAlignment="1">
      <alignment horizontal="center" vertical="center"/>
    </xf>
    <xf numFmtId="4" fontId="20" fillId="0" borderId="111" xfId="3" applyNumberFormat="1" applyFont="1" applyBorder="1" applyAlignment="1">
      <alignment horizontal="center" vertical="center"/>
    </xf>
    <xf numFmtId="0" fontId="20" fillId="0" borderId="63" xfId="3" applyFont="1" applyBorder="1" applyAlignment="1">
      <alignment horizontal="center" vertical="center"/>
    </xf>
    <xf numFmtId="0" fontId="37" fillId="0" borderId="39" xfId="4" applyFont="1" applyBorder="1" applyAlignment="1">
      <alignment horizontal="right"/>
    </xf>
    <xf numFmtId="0" fontId="37" fillId="0" borderId="28" xfId="4" applyFont="1" applyBorder="1" applyAlignment="1">
      <alignment horizontal="right"/>
    </xf>
    <xf numFmtId="4" fontId="37" fillId="0" borderId="28" xfId="4" applyNumberFormat="1" applyFont="1" applyBorder="1" applyAlignment="1">
      <alignment horizontal="center"/>
    </xf>
    <xf numFmtId="0" fontId="20" fillId="0" borderId="39" xfId="4" applyFont="1" applyBorder="1" applyAlignment="1">
      <alignment horizontal="right"/>
    </xf>
    <xf numFmtId="0" fontId="0" fillId="0" borderId="28" xfId="0" applyBorder="1"/>
    <xf numFmtId="0" fontId="40" fillId="0" borderId="9" xfId="4" applyFont="1" applyBorder="1" applyAlignment="1">
      <alignment horizontal="center" vertical="center"/>
    </xf>
    <xf numFmtId="0" fontId="40" fillId="0" borderId="0" xfId="4" applyFont="1" applyBorder="1" applyAlignment="1">
      <alignment horizontal="center" vertical="center"/>
    </xf>
    <xf numFmtId="4" fontId="1" fillId="0" borderId="0" xfId="3" applyNumberFormat="1" applyBorder="1" applyAlignment="1">
      <alignment horizontal="center" vertical="center"/>
    </xf>
    <xf numFmtId="2" fontId="1" fillId="0" borderId="0" xfId="4" applyNumberFormat="1" applyFont="1" applyBorder="1" applyAlignment="1">
      <alignment horizontal="center" vertical="center"/>
    </xf>
    <xf numFmtId="0" fontId="1" fillId="0" borderId="9" xfId="4" applyFont="1" applyBorder="1" applyAlignment="1">
      <alignment horizontal="center"/>
    </xf>
    <xf numFmtId="0" fontId="1" fillId="0" borderId="0" xfId="4" applyFont="1" applyBorder="1" applyAlignment="1">
      <alignment horizontal="center"/>
    </xf>
    <xf numFmtId="0" fontId="20" fillId="0" borderId="9" xfId="4" applyFont="1" applyBorder="1" applyAlignment="1">
      <alignment horizontal="center"/>
    </xf>
    <xf numFmtId="0" fontId="20" fillId="0" borderId="0" xfId="4" applyFont="1" applyBorder="1" applyAlignment="1">
      <alignment horizontal="center"/>
    </xf>
    <xf numFmtId="0" fontId="20" fillId="0" borderId="9" xfId="4" applyFont="1" applyBorder="1" applyAlignment="1">
      <alignment horizontal="right"/>
    </xf>
    <xf numFmtId="0" fontId="20" fillId="0" borderId="0" xfId="4" applyFont="1" applyBorder="1" applyAlignment="1">
      <alignment horizontal="right"/>
    </xf>
    <xf numFmtId="4" fontId="37" fillId="0" borderId="0" xfId="4" applyNumberFormat="1" applyFont="1" applyBorder="1" applyAlignment="1">
      <alignment horizontal="center"/>
    </xf>
    <xf numFmtId="0" fontId="40" fillId="0" borderId="39" xfId="4" applyFont="1" applyBorder="1" applyAlignment="1">
      <alignment horizontal="center" vertical="center"/>
    </xf>
    <xf numFmtId="0" fontId="40" fillId="0" borderId="28" xfId="4" applyFont="1" applyBorder="1" applyAlignment="1">
      <alignment horizontal="center" vertical="center"/>
    </xf>
    <xf numFmtId="0" fontId="94" fillId="0" borderId="28" xfId="4" applyFont="1" applyBorder="1" applyAlignment="1">
      <alignment horizontal="center" vertical="center" wrapText="1"/>
    </xf>
    <xf numFmtId="0" fontId="41" fillId="0" borderId="28" xfId="4" applyFont="1" applyBorder="1" applyAlignment="1">
      <alignment horizontal="center" vertical="center" wrapText="1"/>
    </xf>
    <xf numFmtId="170" fontId="1" fillId="0" borderId="28" xfId="4" applyNumberFormat="1" applyFont="1" applyBorder="1" applyAlignment="1">
      <alignment horizontal="center"/>
    </xf>
    <xf numFmtId="4" fontId="1" fillId="0" borderId="28" xfId="3" applyNumberFormat="1" applyBorder="1" applyAlignment="1">
      <alignment horizontal="center" vertical="center"/>
    </xf>
    <xf numFmtId="0" fontId="39" fillId="0" borderId="28" xfId="3" applyFont="1" applyBorder="1" applyAlignment="1">
      <alignment horizontal="left"/>
    </xf>
    <xf numFmtId="4" fontId="39" fillId="0" borderId="28" xfId="3" applyNumberFormat="1" applyFont="1" applyBorder="1" applyAlignment="1">
      <alignment horizontal="center"/>
    </xf>
    <xf numFmtId="0" fontId="39" fillId="0" borderId="28" xfId="3" applyFont="1" applyBorder="1" applyAlignment="1">
      <alignment horizontal="left" wrapText="1"/>
    </xf>
    <xf numFmtId="4" fontId="39" fillId="0" borderId="28" xfId="3" applyNumberFormat="1" applyFont="1" applyBorder="1" applyAlignment="1">
      <alignment horizontal="center" vertical="center"/>
    </xf>
    <xf numFmtId="4" fontId="20" fillId="0" borderId="28" xfId="3" applyNumberFormat="1" applyFont="1" applyBorder="1" applyAlignment="1">
      <alignment horizontal="center"/>
    </xf>
    <xf numFmtId="4" fontId="20" fillId="7" borderId="28" xfId="3" applyNumberFormat="1" applyFont="1" applyFill="1" applyBorder="1" applyAlignment="1">
      <alignment horizontal="center"/>
    </xf>
    <xf numFmtId="0" fontId="37" fillId="0" borderId="9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40" fillId="7" borderId="85" xfId="3" applyFont="1" applyFill="1" applyBorder="1" applyAlignment="1">
      <alignment horizontal="right"/>
    </xf>
    <xf numFmtId="0" fontId="40" fillId="7" borderId="67" xfId="3" applyFont="1" applyFill="1" applyBorder="1" applyAlignment="1">
      <alignment horizontal="right"/>
    </xf>
    <xf numFmtId="0" fontId="40" fillId="7" borderId="32" xfId="3" applyFont="1" applyFill="1" applyBorder="1" applyAlignment="1">
      <alignment horizontal="right"/>
    </xf>
    <xf numFmtId="0" fontId="50" fillId="0" borderId="0" xfId="4" applyFont="1" applyAlignment="1">
      <alignment horizontal="center"/>
    </xf>
    <xf numFmtId="0" fontId="1" fillId="0" borderId="79" xfId="3" applyBorder="1" applyAlignment="1">
      <alignment horizontal="center"/>
    </xf>
    <xf numFmtId="0" fontId="1" fillId="0" borderId="47" xfId="3" applyBorder="1" applyAlignment="1">
      <alignment horizontal="center"/>
    </xf>
    <xf numFmtId="4" fontId="37" fillId="0" borderId="47" xfId="3" applyNumberFormat="1" applyFont="1" applyBorder="1" applyAlignment="1">
      <alignment horizontal="center"/>
    </xf>
    <xf numFmtId="0" fontId="49" fillId="0" borderId="0" xfId="4" applyFont="1" applyAlignment="1">
      <alignment horizontal="center"/>
    </xf>
    <xf numFmtId="0" fontId="36" fillId="0" borderId="0" xfId="4" applyAlignment="1">
      <alignment horizontal="center"/>
    </xf>
    <xf numFmtId="0" fontId="1" fillId="0" borderId="0" xfId="3" applyAlignment="1">
      <alignment horizontal="center"/>
    </xf>
    <xf numFmtId="0" fontId="96" fillId="0" borderId="0" xfId="4" applyFont="1" applyAlignment="1">
      <alignment horizontal="right"/>
    </xf>
    <xf numFmtId="0" fontId="39" fillId="0" borderId="28" xfId="4" applyFont="1" applyBorder="1" applyAlignment="1">
      <alignment horizontal="left"/>
    </xf>
    <xf numFmtId="0" fontId="38" fillId="0" borderId="39" xfId="4" applyFont="1" applyBorder="1" applyAlignment="1">
      <alignment horizontal="center" vertical="center"/>
    </xf>
    <xf numFmtId="0" fontId="38" fillId="0" borderId="28" xfId="4" applyFont="1" applyBorder="1" applyAlignment="1">
      <alignment horizontal="center" vertical="center"/>
    </xf>
    <xf numFmtId="0" fontId="20" fillId="0" borderId="28" xfId="4" applyFont="1" applyBorder="1" applyAlignment="1">
      <alignment horizontal="right"/>
    </xf>
    <xf numFmtId="0" fontId="40" fillId="0" borderId="28" xfId="3" applyFont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 wrapText="1"/>
    </xf>
    <xf numFmtId="0" fontId="14" fillId="8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3" borderId="20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75" xfId="0" applyFont="1" applyBorder="1" applyAlignment="1">
      <alignment horizontal="center" vertical="center" wrapText="1"/>
    </xf>
    <xf numFmtId="0" fontId="14" fillId="2" borderId="52" xfId="0" applyFont="1" applyFill="1" applyBorder="1" applyAlignment="1">
      <alignment horizontal="center" vertical="center" wrapText="1"/>
    </xf>
  </cellXfs>
  <cellStyles count="127">
    <cellStyle name="20% - Ênfase1" xfId="103" builtinId="30" customBuiltin="1"/>
    <cellStyle name="20% - Ênfase1 2" xfId="6"/>
    <cellStyle name="20% - Ênfase1 3" xfId="7"/>
    <cellStyle name="20% - Ênfase1 4" xfId="8"/>
    <cellStyle name="20% - Ênfase1 5" xfId="9"/>
    <cellStyle name="20% - Ênfase1 6" xfId="10"/>
    <cellStyle name="20% - Ênfase1 7" xfId="11"/>
    <cellStyle name="20% - Ênfase2" xfId="107" builtinId="34" customBuiltin="1"/>
    <cellStyle name="20% - Ênfase2 2" xfId="12"/>
    <cellStyle name="20% - Ênfase2 3" xfId="13"/>
    <cellStyle name="20% - Ênfase2 4" xfId="14"/>
    <cellStyle name="20% - Ênfase2 5" xfId="15"/>
    <cellStyle name="20% - Ênfase2 6" xfId="16"/>
    <cellStyle name="20% - Ênfase2 7" xfId="17"/>
    <cellStyle name="20% - Ênfase3" xfId="111" builtinId="38" customBuiltin="1"/>
    <cellStyle name="20% - Ênfase3 2" xfId="18"/>
    <cellStyle name="20% - Ênfase3 3" xfId="19"/>
    <cellStyle name="20% - Ênfase3 4" xfId="20"/>
    <cellStyle name="20% - Ênfase3 5" xfId="21"/>
    <cellStyle name="20% - Ênfase3 6" xfId="22"/>
    <cellStyle name="20% - Ênfase3 7" xfId="23"/>
    <cellStyle name="20% - Ênfase4" xfId="115" builtinId="42" customBuiltin="1"/>
    <cellStyle name="20% - Ênfase4 2" xfId="24"/>
    <cellStyle name="20% - Ênfase4 3" xfId="25"/>
    <cellStyle name="20% - Ênfase4 4" xfId="26"/>
    <cellStyle name="20% - Ênfase4 5" xfId="27"/>
    <cellStyle name="20% - Ênfase4 6" xfId="28"/>
    <cellStyle name="20% - Ênfase4 7" xfId="29"/>
    <cellStyle name="20% - Ênfase5" xfId="119" builtinId="46" customBuiltin="1"/>
    <cellStyle name="20% - Ênfase5 2" xfId="30"/>
    <cellStyle name="20% - Ênfase5 3" xfId="31"/>
    <cellStyle name="20% - Ênfase5 4" xfId="32"/>
    <cellStyle name="20% - Ênfase5 5" xfId="33"/>
    <cellStyle name="20% - Ênfase5 6" xfId="34"/>
    <cellStyle name="20% - Ênfase5 7" xfId="35"/>
    <cellStyle name="20% - Ênfase6" xfId="123" builtinId="50" customBuiltin="1"/>
    <cellStyle name="20% - Ênfase6 2" xfId="36"/>
    <cellStyle name="20% - Ênfase6 3" xfId="37"/>
    <cellStyle name="20% - Ênfase6 4" xfId="38"/>
    <cellStyle name="20% - Ênfase6 5" xfId="39"/>
    <cellStyle name="20% - Ênfase6 6" xfId="40"/>
    <cellStyle name="20% - Ênfase6 7" xfId="41"/>
    <cellStyle name="40% - Ênfase1" xfId="104" builtinId="31" customBuiltin="1"/>
    <cellStyle name="40% - Ênfase1 2" xfId="42"/>
    <cellStyle name="40% - Ênfase1 3" xfId="43"/>
    <cellStyle name="40% - Ênfase1 4" xfId="44"/>
    <cellStyle name="40% - Ênfase1 5" xfId="45"/>
    <cellStyle name="40% - Ênfase1 6" xfId="46"/>
    <cellStyle name="40% - Ênfase1 7" xfId="47"/>
    <cellStyle name="40% - Ênfase2" xfId="108" builtinId="35" customBuiltin="1"/>
    <cellStyle name="40% - Ênfase2 2" xfId="48"/>
    <cellStyle name="40% - Ênfase2 3" xfId="49"/>
    <cellStyle name="40% - Ênfase2 4" xfId="50"/>
    <cellStyle name="40% - Ênfase2 5" xfId="51"/>
    <cellStyle name="40% - Ênfase2 6" xfId="52"/>
    <cellStyle name="40% - Ênfase2 7" xfId="53"/>
    <cellStyle name="40% - Ênfase3" xfId="112" builtinId="39" customBuiltin="1"/>
    <cellStyle name="40% - Ênfase3 2" xfId="54"/>
    <cellStyle name="40% - Ênfase3 3" xfId="55"/>
    <cellStyle name="40% - Ênfase3 4" xfId="56"/>
    <cellStyle name="40% - Ênfase3 5" xfId="57"/>
    <cellStyle name="40% - Ênfase3 6" xfId="58"/>
    <cellStyle name="40% - Ênfase3 7" xfId="59"/>
    <cellStyle name="40% - Ênfase4" xfId="116" builtinId="43" customBuiltin="1"/>
    <cellStyle name="40% - Ênfase4 2" xfId="60"/>
    <cellStyle name="40% - Ênfase4 3" xfId="61"/>
    <cellStyle name="40% - Ênfase4 4" xfId="62"/>
    <cellStyle name="40% - Ênfase4 5" xfId="63"/>
    <cellStyle name="40% - Ênfase4 6" xfId="64"/>
    <cellStyle name="40% - Ênfase4 7" xfId="65"/>
    <cellStyle name="40% - Ênfase5" xfId="120" builtinId="47" customBuiltin="1"/>
    <cellStyle name="40% - Ênfase5 2" xfId="66"/>
    <cellStyle name="40% - Ênfase5 3" xfId="67"/>
    <cellStyle name="40% - Ênfase5 4" xfId="68"/>
    <cellStyle name="40% - Ênfase5 5" xfId="69"/>
    <cellStyle name="40% - Ênfase5 6" xfId="70"/>
    <cellStyle name="40% - Ênfase5 7" xfId="71"/>
    <cellStyle name="40% - Ênfase6" xfId="124" builtinId="51" customBuiltin="1"/>
    <cellStyle name="40% - Ênfase6 2" xfId="72"/>
    <cellStyle name="40% - Ênfase6 3" xfId="73"/>
    <cellStyle name="40% - Ênfase6 4" xfId="74"/>
    <cellStyle name="40% - Ênfase6 5" xfId="75"/>
    <cellStyle name="40% - Ênfase6 6" xfId="76"/>
    <cellStyle name="40% - Ênfase6 7" xfId="77"/>
    <cellStyle name="60% - Ênfase1" xfId="105" builtinId="32" customBuiltin="1"/>
    <cellStyle name="60% - Ênfase2" xfId="109" builtinId="36" customBuiltin="1"/>
    <cellStyle name="60% - Ênfase3" xfId="113" builtinId="40" customBuiltin="1"/>
    <cellStyle name="60% - Ênfase4" xfId="117" builtinId="44" customBuiltin="1"/>
    <cellStyle name="60% - Ênfase5" xfId="121" builtinId="48" customBuiltin="1"/>
    <cellStyle name="60% - Ênfase6" xfId="125" builtinId="52" customBuiltin="1"/>
    <cellStyle name="Bom" xfId="90" builtinId="26" customBuiltin="1"/>
    <cellStyle name="Cálculo" xfId="95" builtinId="22" customBuiltin="1"/>
    <cellStyle name="Célula de Verificação" xfId="97" builtinId="23" customBuiltin="1"/>
    <cellStyle name="Célula Vinculada" xfId="96" builtinId="24" customBuiltin="1"/>
    <cellStyle name="Ênfase1" xfId="102" builtinId="29" customBuiltin="1"/>
    <cellStyle name="Ênfase2" xfId="106" builtinId="33" customBuiltin="1"/>
    <cellStyle name="Ênfase3" xfId="110" builtinId="37" customBuiltin="1"/>
    <cellStyle name="Ênfase4" xfId="114" builtinId="41" customBuiltin="1"/>
    <cellStyle name="Ênfase5" xfId="118" builtinId="45" customBuiltin="1"/>
    <cellStyle name="Ênfase6" xfId="122" builtinId="49" customBuiltin="1"/>
    <cellStyle name="Entrada" xfId="93" builtinId="20" customBuiltin="1"/>
    <cellStyle name="Incorreto" xfId="91" builtinId="27" customBuiltin="1"/>
    <cellStyle name="Neutra" xfId="92" builtinId="28" customBuiltin="1"/>
    <cellStyle name="Normal" xfId="0" builtinId="0"/>
    <cellStyle name="Normal 2" xfId="3"/>
    <cellStyle name="Normal 3" xfId="4"/>
    <cellStyle name="Normal 4" xfId="126"/>
    <cellStyle name="Nota" xfId="99" builtinId="10" customBuiltin="1"/>
    <cellStyle name="Nota 2" xfId="78"/>
    <cellStyle name="Nota 3" xfId="79"/>
    <cellStyle name="Nota 4" xfId="80"/>
    <cellStyle name="Nota 5" xfId="81"/>
    <cellStyle name="Nota 6" xfId="82"/>
    <cellStyle name="Nota 7" xfId="83"/>
    <cellStyle name="Porcentagem" xfId="1" builtinId="5"/>
    <cellStyle name="Porcentagem 2" xfId="84"/>
    <cellStyle name="Saída" xfId="94" builtinId="21" customBuiltin="1"/>
    <cellStyle name="Separador de milhares 2" xfId="5"/>
    <cellStyle name="Texto de Aviso" xfId="98" builtinId="11" customBuiltin="1"/>
    <cellStyle name="Texto Explicativo" xfId="100" builtinId="53" customBuiltin="1"/>
    <cellStyle name="Título" xfId="85" builtinId="15" customBuiltin="1"/>
    <cellStyle name="Título 1" xfId="86" builtinId="16" customBuiltin="1"/>
    <cellStyle name="Título 2" xfId="87" builtinId="17" customBuiltin="1"/>
    <cellStyle name="Título 3" xfId="88" builtinId="18" customBuiltin="1"/>
    <cellStyle name="Título 4" xfId="89" builtinId="19" customBuiltin="1"/>
    <cellStyle name="Total" xfId="101" builtinId="25" customBuiltin="1"/>
    <cellStyle name="Vírgula" xfId="2" builtinId="3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243363</xdr:colOff>
      <xdr:row>0</xdr:row>
      <xdr:rowOff>107632</xdr:rowOff>
    </xdr:from>
    <xdr:to>
      <xdr:col>3</xdr:col>
      <xdr:colOff>142875</xdr:colOff>
      <xdr:row>4</xdr:row>
      <xdr:rowOff>102009</xdr:rowOff>
    </xdr:to>
    <xdr:pic>
      <xdr:nvPicPr>
        <xdr:cNvPr id="3" name="Imagem 4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79269" y="107632"/>
          <a:ext cx="875825" cy="7682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66675</xdr:colOff>
      <xdr:row>0</xdr:row>
      <xdr:rowOff>76200</xdr:rowOff>
    </xdr:from>
    <xdr:ext cx="874395" cy="0"/>
    <xdr:pic>
      <xdr:nvPicPr>
        <xdr:cNvPr id="5" name="Imagem 4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42925" y="76200"/>
          <a:ext cx="8743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323852</xdr:colOff>
      <xdr:row>2</xdr:row>
      <xdr:rowOff>46439</xdr:rowOff>
    </xdr:from>
    <xdr:to>
      <xdr:col>1</xdr:col>
      <xdr:colOff>778176</xdr:colOff>
      <xdr:row>2</xdr:row>
      <xdr:rowOff>47623</xdr:rowOff>
    </xdr:to>
    <xdr:pic>
      <xdr:nvPicPr>
        <xdr:cNvPr id="2" name="Picture 1" descr="ufma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2" y="46439"/>
          <a:ext cx="910658" cy="11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268430</xdr:colOff>
      <xdr:row>1</xdr:row>
      <xdr:rowOff>60614</xdr:rowOff>
    </xdr:from>
    <xdr:to>
      <xdr:col>1</xdr:col>
      <xdr:colOff>562841</xdr:colOff>
      <xdr:row>4</xdr:row>
      <xdr:rowOff>112568</xdr:rowOff>
    </xdr:to>
    <xdr:pic>
      <xdr:nvPicPr>
        <xdr:cNvPr id="5" name="Imagem 4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430" y="277091"/>
          <a:ext cx="753343" cy="71870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9525</xdr:rowOff>
    </xdr:from>
    <xdr:to>
      <xdr:col>1</xdr:col>
      <xdr:colOff>561975</xdr:colOff>
      <xdr:row>3</xdr:row>
      <xdr:rowOff>180975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28575" y="542925"/>
          <a:ext cx="118110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40956</xdr:colOff>
      <xdr:row>0</xdr:row>
      <xdr:rowOff>131444</xdr:rowOff>
    </xdr:from>
    <xdr:to>
      <xdr:col>2</xdr:col>
      <xdr:colOff>200177</xdr:colOff>
      <xdr:row>3</xdr:row>
      <xdr:rowOff>95249</xdr:rowOff>
    </xdr:to>
    <xdr:pic>
      <xdr:nvPicPr>
        <xdr:cNvPr id="3" name="Imagem 4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8706" y="131444"/>
          <a:ext cx="1206971" cy="940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66675</xdr:colOff>
      <xdr:row>0</xdr:row>
      <xdr:rowOff>76200</xdr:rowOff>
    </xdr:from>
    <xdr:ext cx="874395" cy="0"/>
    <xdr:pic>
      <xdr:nvPicPr>
        <xdr:cNvPr id="5" name="Imagem 4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62000" y="76200"/>
          <a:ext cx="87439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38100</xdr:rowOff>
    </xdr:from>
    <xdr:to>
      <xdr:col>2</xdr:col>
      <xdr:colOff>485775</xdr:colOff>
      <xdr:row>3</xdr:row>
      <xdr:rowOff>47949</xdr:rowOff>
    </xdr:to>
    <xdr:pic>
      <xdr:nvPicPr>
        <xdr:cNvPr id="2" name="Imagem 1" descr="BRASÃO UFMA FEV 09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115050" y="38100"/>
          <a:ext cx="628650" cy="609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3</xdr:row>
      <xdr:rowOff>190499</xdr:rowOff>
    </xdr:to>
    <xdr:pic>
      <xdr:nvPicPr>
        <xdr:cNvPr id="5" name="Imagem 4" descr="BRASÃO UFMA FEV 09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09938" y="130968"/>
          <a:ext cx="949929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585108</xdr:colOff>
      <xdr:row>0</xdr:row>
      <xdr:rowOff>0</xdr:rowOff>
    </xdr:from>
    <xdr:to>
      <xdr:col>1</xdr:col>
      <xdr:colOff>1796143</xdr:colOff>
      <xdr:row>3</xdr:row>
      <xdr:rowOff>272143</xdr:rowOff>
    </xdr:to>
    <xdr:pic>
      <xdr:nvPicPr>
        <xdr:cNvPr id="3" name="Imagem 2" descr="BRASÃO UFMA FEV 09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84465" y="0"/>
          <a:ext cx="1211035" cy="1360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3</xdr:row>
      <xdr:rowOff>0</xdr:rowOff>
    </xdr:to>
    <xdr:pic>
      <xdr:nvPicPr>
        <xdr:cNvPr id="2" name="Imagem 1" descr="BRASÃO UFMA FEV 09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95725" y="0"/>
          <a:ext cx="0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902172</xdr:colOff>
      <xdr:row>0</xdr:row>
      <xdr:rowOff>54887</xdr:rowOff>
    </xdr:from>
    <xdr:to>
      <xdr:col>3</xdr:col>
      <xdr:colOff>404813</xdr:colOff>
      <xdr:row>2</xdr:row>
      <xdr:rowOff>216693</xdr:rowOff>
    </xdr:to>
    <xdr:pic>
      <xdr:nvPicPr>
        <xdr:cNvPr id="3" name="Imagem 2" descr="BRASÃO UFMA FEV 09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7610" y="54887"/>
          <a:ext cx="812328" cy="6975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1406440</xdr:colOff>
      <xdr:row>0</xdr:row>
      <xdr:rowOff>51593</xdr:rowOff>
    </xdr:from>
    <xdr:to>
      <xdr:col>0</xdr:col>
      <xdr:colOff>2698750</xdr:colOff>
      <xdr:row>3</xdr:row>
      <xdr:rowOff>0</xdr:rowOff>
    </xdr:to>
    <xdr:pic>
      <xdr:nvPicPr>
        <xdr:cNvPr id="8" name="Imagem 7" descr="BRASÃO UFMA FEV 09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06440" y="51593"/>
          <a:ext cx="1292310" cy="13496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555624</xdr:colOff>
      <xdr:row>0</xdr:row>
      <xdr:rowOff>79374</xdr:rowOff>
    </xdr:from>
    <xdr:to>
      <xdr:col>1</xdr:col>
      <xdr:colOff>1047750</xdr:colOff>
      <xdr:row>2</xdr:row>
      <xdr:rowOff>380999</xdr:rowOff>
    </xdr:to>
    <xdr:pic>
      <xdr:nvPicPr>
        <xdr:cNvPr id="3" name="Imagem 2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624" y="79374"/>
          <a:ext cx="1095376" cy="1158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4</xdr:col>
      <xdr:colOff>0</xdr:colOff>
      <xdr:row>3</xdr:row>
      <xdr:rowOff>0</xdr:rowOff>
    </xdr:to>
    <xdr:pic>
      <xdr:nvPicPr>
        <xdr:cNvPr id="7" name="Imagem 6" descr="BRASÃO UFMA FEV 09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95725" y="0"/>
          <a:ext cx="0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464344</xdr:colOff>
      <xdr:row>0</xdr:row>
      <xdr:rowOff>107156</xdr:rowOff>
    </xdr:from>
    <xdr:to>
      <xdr:col>1</xdr:col>
      <xdr:colOff>94531</xdr:colOff>
      <xdr:row>4</xdr:row>
      <xdr:rowOff>154781</xdr:rowOff>
    </xdr:to>
    <xdr:pic>
      <xdr:nvPicPr>
        <xdr:cNvPr id="8" name="Imagem 7" descr="BRASÃO UFMA FEV 09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4344" y="107156"/>
          <a:ext cx="1011312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550967</xdr:colOff>
      <xdr:row>0</xdr:row>
      <xdr:rowOff>11906</xdr:rowOff>
    </xdr:from>
    <xdr:to>
      <xdr:col>1</xdr:col>
      <xdr:colOff>845344</xdr:colOff>
      <xdr:row>3</xdr:row>
      <xdr:rowOff>190499</xdr:rowOff>
    </xdr:to>
    <xdr:pic>
      <xdr:nvPicPr>
        <xdr:cNvPr id="2" name="Imagem 1" descr="BRASÃO UFMA FEV 09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0967" y="11906"/>
          <a:ext cx="901596" cy="9644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447674</xdr:colOff>
      <xdr:row>0</xdr:row>
      <xdr:rowOff>104775</xdr:rowOff>
    </xdr:from>
    <xdr:to>
      <xdr:col>2</xdr:col>
      <xdr:colOff>171449</xdr:colOff>
      <xdr:row>4</xdr:row>
      <xdr:rowOff>123825</xdr:rowOff>
    </xdr:to>
    <xdr:pic>
      <xdr:nvPicPr>
        <xdr:cNvPr id="4" name="Imagem 3" descr="C:\Users\CLAUDIO SANTOS\Desktop\BRASÃO OFICIAL UFMA.jpg"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4" y="104775"/>
          <a:ext cx="942975" cy="923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rbaniza&#231;&#227;o%20do%20Campus%20de%20Balsas-MA-%20P&#243;rtico%20Acesso-Estacionamento%20Edif&#237;cios\Chapadinha%20Maio.19\2018\Adm.%20Local%20Lev.%20PAC.%20LOTE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azo Valor"/>
      <sheetName val="Pes. Produção"/>
      <sheetName val="Vigias"/>
      <sheetName val="Pes. Admin."/>
      <sheetName val="SESMT"/>
      <sheetName val="Mat. Esc. Obra"/>
      <sheetName val="Veíc.Mot."/>
      <sheetName val="Cant. Obras"/>
      <sheetName val="Qdade . Operários"/>
      <sheetName val="Perm. Vg.Campus"/>
      <sheetName val="Curva ABC MO"/>
      <sheetName val="Resumo"/>
      <sheetName val="Adm.Local.Empresa"/>
      <sheetName val="TAB.DEPR."/>
      <sheetName val="Plan1"/>
      <sheetName val="Plan2"/>
    </sheetNames>
    <sheetDataSet>
      <sheetData sheetId="0"/>
      <sheetData sheetId="1">
        <row r="8">
          <cell r="A8" t="str">
            <v>RESUMO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showGridLines="0" view="pageBreakPreview" zoomScale="80" zoomScaleNormal="80" zoomScaleSheetLayoutView="80" workbookViewId="0">
      <selection activeCell="W22" sqref="W22"/>
    </sheetView>
  </sheetViews>
  <sheetFormatPr defaultRowHeight="15" x14ac:dyDescent="0.25"/>
  <cols>
    <col min="1" max="1" width="10.42578125" customWidth="1"/>
    <col min="2" max="2" width="12.7109375" customWidth="1"/>
    <col min="3" max="3" width="14.7109375" customWidth="1"/>
    <col min="4" max="4" width="12.7109375" customWidth="1"/>
    <col min="5" max="7" width="12.5703125" customWidth="1"/>
    <col min="8" max="8" width="16.5703125" customWidth="1"/>
    <col min="9" max="9" width="14.42578125" customWidth="1"/>
    <col min="10" max="10" width="14.140625" customWidth="1"/>
    <col min="11" max="11" width="14" customWidth="1"/>
    <col min="12" max="12" width="14.28515625" customWidth="1"/>
    <col min="13" max="13" width="14" customWidth="1"/>
    <col min="14" max="14" width="15.140625" customWidth="1"/>
    <col min="15" max="15" width="13.5703125" customWidth="1"/>
    <col min="16" max="18" width="10.85546875" customWidth="1"/>
    <col min="19" max="28" width="4.5703125" customWidth="1"/>
    <col min="29" max="29" width="3.28515625" customWidth="1"/>
    <col min="30" max="31" width="4.5703125" customWidth="1"/>
  </cols>
  <sheetData>
    <row r="1" spans="1:14" ht="15.75" customHeight="1" x14ac:dyDescent="0.25">
      <c r="A1" s="655" t="s">
        <v>880</v>
      </c>
      <c r="B1" s="656"/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</row>
    <row r="2" spans="1:14" ht="15" customHeight="1" x14ac:dyDescent="0.25">
      <c r="A2" s="655" t="s">
        <v>881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</row>
    <row r="3" spans="1:14" ht="15" customHeight="1" x14ac:dyDescent="0.25">
      <c r="A3" s="655" t="s">
        <v>882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</row>
    <row r="4" spans="1:14" ht="15" customHeight="1" x14ac:dyDescent="0.25">
      <c r="A4" s="655" t="s">
        <v>883</v>
      </c>
      <c r="B4" s="656"/>
      <c r="C4" s="656"/>
      <c r="D4" s="656"/>
      <c r="E4" s="656"/>
      <c r="F4" s="656"/>
      <c r="G4" s="656"/>
      <c r="H4" s="656"/>
      <c r="I4" s="656"/>
      <c r="J4" s="656"/>
      <c r="K4" s="656"/>
      <c r="L4" s="656"/>
      <c r="M4" s="656"/>
      <c r="N4" s="656"/>
    </row>
    <row r="6" spans="1:14" s="1" customFormat="1" ht="23.25" customHeight="1" x14ac:dyDescent="0.25">
      <c r="A6" s="660" t="s">
        <v>15</v>
      </c>
      <c r="B6" s="661"/>
      <c r="C6" s="661"/>
      <c r="D6" s="661"/>
      <c r="E6" s="661"/>
      <c r="F6" s="661"/>
      <c r="G6" s="661"/>
      <c r="H6" s="661"/>
      <c r="I6" s="661"/>
      <c r="J6" s="661"/>
      <c r="K6" s="661"/>
      <c r="L6" s="661"/>
      <c r="M6" s="661"/>
      <c r="N6" s="662"/>
    </row>
    <row r="7" spans="1:14" s="1" customFormat="1" ht="23.25" customHeight="1" x14ac:dyDescent="0.25">
      <c r="A7" s="668" t="s">
        <v>459</v>
      </c>
      <c r="B7" s="669"/>
      <c r="C7" s="669"/>
      <c r="D7" s="151" t="s">
        <v>422</v>
      </c>
      <c r="E7" s="665" t="s">
        <v>154</v>
      </c>
      <c r="F7" s="665"/>
      <c r="G7" s="665"/>
      <c r="H7" s="665"/>
      <c r="I7" s="663" t="s">
        <v>155</v>
      </c>
      <c r="J7" s="663"/>
      <c r="K7" s="663"/>
      <c r="L7" s="663"/>
      <c r="M7" s="663"/>
      <c r="N7" s="664"/>
    </row>
    <row r="8" spans="1:14" s="1" customFormat="1" ht="36" customHeight="1" x14ac:dyDescent="0.25">
      <c r="A8" s="666" t="s">
        <v>484</v>
      </c>
      <c r="B8" s="667"/>
      <c r="C8" s="667"/>
      <c r="D8" s="239" t="s">
        <v>153</v>
      </c>
      <c r="E8" s="240" t="s">
        <v>296</v>
      </c>
      <c r="F8" s="240" t="s">
        <v>297</v>
      </c>
      <c r="G8" s="240" t="s">
        <v>298</v>
      </c>
      <c r="H8" s="240" t="s">
        <v>300</v>
      </c>
      <c r="I8" s="240" t="s">
        <v>299</v>
      </c>
      <c r="J8" s="240" t="s">
        <v>301</v>
      </c>
      <c r="K8" s="240" t="s">
        <v>302</v>
      </c>
      <c r="L8" s="240" t="s">
        <v>303</v>
      </c>
      <c r="M8" s="240" t="s">
        <v>304</v>
      </c>
      <c r="N8" s="241" t="s">
        <v>305</v>
      </c>
    </row>
    <row r="9" spans="1:14" ht="23.25" customHeight="1" x14ac:dyDescent="0.25">
      <c r="A9" s="666" t="s">
        <v>485</v>
      </c>
      <c r="B9" s="667"/>
      <c r="C9" s="667"/>
      <c r="D9" s="152">
        <v>60</v>
      </c>
      <c r="E9" s="152">
        <v>90</v>
      </c>
      <c r="F9" s="152">
        <v>120</v>
      </c>
      <c r="G9" s="152">
        <v>150</v>
      </c>
      <c r="H9" s="152">
        <v>180</v>
      </c>
      <c r="I9" s="152">
        <v>240</v>
      </c>
      <c r="J9" s="152">
        <v>300</v>
      </c>
      <c r="K9" s="152">
        <v>360</v>
      </c>
      <c r="L9" s="152">
        <v>540</v>
      </c>
      <c r="M9" s="152">
        <v>720</v>
      </c>
      <c r="N9" s="159">
        <v>900</v>
      </c>
    </row>
    <row r="10" spans="1:14" ht="19.5" hidden="1" customHeight="1" thickBot="1" x14ac:dyDescent="0.3">
      <c r="A10" s="660" t="s">
        <v>32</v>
      </c>
      <c r="B10" s="661"/>
      <c r="C10" s="661"/>
      <c r="D10" s="661"/>
      <c r="E10" s="661"/>
      <c r="F10" s="661"/>
      <c r="G10" s="661"/>
      <c r="H10" s="661"/>
      <c r="I10" s="661"/>
      <c r="J10" s="661"/>
      <c r="K10" s="661"/>
      <c r="L10" s="153"/>
      <c r="M10" s="149"/>
      <c r="N10" s="160"/>
    </row>
    <row r="11" spans="1:14" ht="40.5" hidden="1" customHeight="1" x14ac:dyDescent="0.25">
      <c r="A11" s="161" t="s">
        <v>22</v>
      </c>
      <c r="B11" s="154" t="s">
        <v>20</v>
      </c>
      <c r="C11" s="154" t="s">
        <v>28</v>
      </c>
      <c r="D11" s="154" t="s">
        <v>16</v>
      </c>
      <c r="E11" s="154" t="s">
        <v>11</v>
      </c>
      <c r="F11" s="154" t="s">
        <v>12</v>
      </c>
      <c r="G11" s="154" t="s">
        <v>177</v>
      </c>
      <c r="H11" s="154" t="s">
        <v>178</v>
      </c>
      <c r="I11" s="154" t="s">
        <v>17</v>
      </c>
      <c r="J11" s="154" t="s">
        <v>18</v>
      </c>
      <c r="K11" s="154" t="s">
        <v>19</v>
      </c>
      <c r="L11" s="154"/>
      <c r="M11" s="149"/>
      <c r="N11" s="160"/>
    </row>
    <row r="12" spans="1:14" ht="43.5" hidden="1" customHeight="1" x14ac:dyDescent="0.25">
      <c r="A12" s="161" t="s">
        <v>23</v>
      </c>
      <c r="B12" s="155">
        <v>0</v>
      </c>
      <c r="C12" s="155">
        <v>0</v>
      </c>
      <c r="D12" s="156">
        <v>0</v>
      </c>
      <c r="E12" s="156">
        <v>0</v>
      </c>
      <c r="F12" s="156">
        <v>0</v>
      </c>
      <c r="G12" s="156">
        <v>0</v>
      </c>
      <c r="H12" s="156">
        <v>0</v>
      </c>
      <c r="I12" s="156">
        <v>0</v>
      </c>
      <c r="J12" s="156">
        <v>0</v>
      </c>
      <c r="K12" s="156">
        <v>0</v>
      </c>
      <c r="L12" s="157"/>
      <c r="M12" s="149"/>
      <c r="N12" s="160"/>
    </row>
    <row r="13" spans="1:14" ht="40.5" hidden="1" customHeight="1" thickBot="1" x14ac:dyDescent="0.3">
      <c r="A13" s="162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49"/>
      <c r="N13" s="160"/>
    </row>
    <row r="14" spans="1:14" ht="28.5" hidden="1" customHeight="1" x14ac:dyDescent="0.25">
      <c r="A14" s="162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49"/>
      <c r="N14" s="160"/>
    </row>
    <row r="15" spans="1:14" ht="24" customHeight="1" x14ac:dyDescent="0.25">
      <c r="A15" s="657"/>
      <c r="B15" s="658"/>
      <c r="C15" s="658"/>
      <c r="D15" s="658"/>
      <c r="E15" s="658"/>
      <c r="F15" s="658"/>
      <c r="G15" s="658"/>
      <c r="H15" s="658"/>
      <c r="I15" s="658"/>
      <c r="J15" s="658"/>
      <c r="K15" s="658"/>
      <c r="L15" s="658"/>
      <c r="M15" s="658"/>
      <c r="N15" s="659"/>
    </row>
    <row r="16" spans="1:14" ht="36" customHeight="1" x14ac:dyDescent="0.25">
      <c r="A16" s="236" t="s">
        <v>158</v>
      </c>
      <c r="B16" s="670" t="s">
        <v>878</v>
      </c>
      <c r="C16" s="671"/>
      <c r="D16" s="671"/>
      <c r="E16" s="672"/>
      <c r="F16" s="679" t="s">
        <v>645</v>
      </c>
      <c r="G16" s="680"/>
      <c r="H16" s="388">
        <v>2343140.34</v>
      </c>
      <c r="I16" s="237" t="s">
        <v>644</v>
      </c>
      <c r="J16" s="389">
        <v>360</v>
      </c>
      <c r="K16" s="338" t="s">
        <v>680</v>
      </c>
      <c r="L16" s="390" t="s">
        <v>879</v>
      </c>
      <c r="M16" s="238" t="s">
        <v>455</v>
      </c>
      <c r="N16" s="391">
        <v>44896</v>
      </c>
    </row>
    <row r="17" spans="1:14" ht="24" customHeight="1" x14ac:dyDescent="0.25">
      <c r="A17" s="673"/>
      <c r="B17" s="674"/>
      <c r="C17" s="674"/>
      <c r="D17" s="674"/>
      <c r="E17" s="674"/>
      <c r="F17" s="674"/>
      <c r="G17" s="674"/>
      <c r="H17" s="674"/>
      <c r="I17" s="674"/>
      <c r="J17" s="674"/>
      <c r="K17" s="674"/>
      <c r="L17" s="674"/>
      <c r="M17" s="674"/>
      <c r="N17" s="675"/>
    </row>
    <row r="18" spans="1:14" ht="23.25" customHeight="1" x14ac:dyDescent="0.25">
      <c r="A18" s="673" t="s">
        <v>487</v>
      </c>
      <c r="B18" s="674"/>
      <c r="C18" s="674"/>
      <c r="D18" s="674"/>
      <c r="E18" s="674"/>
      <c r="F18" s="674"/>
      <c r="G18" s="674"/>
      <c r="H18" s="674"/>
      <c r="I18" s="674"/>
      <c r="J18" s="674"/>
      <c r="K18" s="674"/>
      <c r="L18" s="674"/>
      <c r="M18" s="674"/>
      <c r="N18" s="675"/>
    </row>
    <row r="19" spans="1:14" ht="35.25" customHeight="1" x14ac:dyDescent="0.25">
      <c r="A19" s="163" t="s">
        <v>22</v>
      </c>
      <c r="B19" s="143" t="s">
        <v>462</v>
      </c>
      <c r="C19" s="143" t="s">
        <v>463</v>
      </c>
      <c r="D19" s="143" t="s">
        <v>464</v>
      </c>
      <c r="E19" s="143" t="s">
        <v>486</v>
      </c>
      <c r="F19" s="143" t="s">
        <v>465</v>
      </c>
      <c r="G19" s="143" t="s">
        <v>523</v>
      </c>
      <c r="H19" s="143" t="s">
        <v>466</v>
      </c>
      <c r="I19" s="143" t="s">
        <v>467</v>
      </c>
      <c r="J19" s="143" t="s">
        <v>468</v>
      </c>
      <c r="K19" s="143" t="s">
        <v>461</v>
      </c>
      <c r="L19" s="144" t="s">
        <v>470</v>
      </c>
      <c r="M19" s="145" t="s">
        <v>469</v>
      </c>
      <c r="N19" s="164" t="s">
        <v>471</v>
      </c>
    </row>
    <row r="20" spans="1:14" ht="23.25" customHeight="1" x14ac:dyDescent="0.25">
      <c r="A20" s="163" t="s">
        <v>460</v>
      </c>
      <c r="B20" s="146"/>
      <c r="C20" s="146">
        <f>'Prazo Valor'!C16</f>
        <v>0</v>
      </c>
      <c r="D20" s="147">
        <f>'Prazo Valor'!D16</f>
        <v>0</v>
      </c>
      <c r="E20" s="147"/>
      <c r="F20" s="147"/>
      <c r="G20" s="147"/>
      <c r="H20" s="147"/>
      <c r="I20" s="147"/>
      <c r="J20" s="147"/>
      <c r="K20" s="147"/>
      <c r="L20" s="148"/>
      <c r="M20" s="149"/>
      <c r="N20" s="160"/>
    </row>
    <row r="21" spans="1:14" ht="23.25" customHeight="1" x14ac:dyDescent="0.25">
      <c r="A21" s="676"/>
      <c r="B21" s="677"/>
      <c r="C21" s="677"/>
      <c r="D21" s="677"/>
      <c r="E21" s="677"/>
      <c r="F21" s="677"/>
      <c r="G21" s="677"/>
      <c r="H21" s="677"/>
      <c r="I21" s="677"/>
      <c r="J21" s="677"/>
      <c r="K21" s="677"/>
      <c r="L21" s="677"/>
      <c r="M21" s="677"/>
      <c r="N21" s="678"/>
    </row>
    <row r="22" spans="1:14" ht="35.25" customHeight="1" x14ac:dyDescent="0.25">
      <c r="A22" s="165" t="s">
        <v>22</v>
      </c>
      <c r="B22" s="143" t="s">
        <v>472</v>
      </c>
      <c r="C22" s="143" t="s">
        <v>473</v>
      </c>
      <c r="D22" s="143" t="s">
        <v>474</v>
      </c>
      <c r="E22" s="143" t="s">
        <v>475</v>
      </c>
      <c r="F22" s="143" t="s">
        <v>476</v>
      </c>
      <c r="G22" s="143" t="s">
        <v>477</v>
      </c>
      <c r="H22" s="143" t="s">
        <v>478</v>
      </c>
      <c r="I22" s="143" t="s">
        <v>479</v>
      </c>
      <c r="J22" s="143" t="s">
        <v>480</v>
      </c>
      <c r="K22" s="143" t="s">
        <v>481</v>
      </c>
      <c r="L22" s="144" t="s">
        <v>482</v>
      </c>
      <c r="M22" s="145" t="s">
        <v>483</v>
      </c>
      <c r="N22" s="164"/>
    </row>
    <row r="23" spans="1:14" ht="24" customHeight="1" thickBot="1" x14ac:dyDescent="0.3">
      <c r="A23" s="166" t="s">
        <v>460</v>
      </c>
      <c r="B23" s="167"/>
      <c r="C23" s="167">
        <f>'Prazo Valor'!C21</f>
        <v>0</v>
      </c>
      <c r="D23" s="168">
        <f>'Prazo Valor'!D21</f>
        <v>0</v>
      </c>
      <c r="E23" s="168"/>
      <c r="F23" s="168"/>
      <c r="G23" s="168">
        <f>'Prazo Valor'!G21</f>
        <v>0</v>
      </c>
      <c r="H23" s="168">
        <f>'Prazo Valor'!H21</f>
        <v>0</v>
      </c>
      <c r="I23" s="168"/>
      <c r="J23" s="168"/>
      <c r="K23" s="168"/>
      <c r="L23" s="169"/>
      <c r="M23" s="170"/>
      <c r="N23" s="171"/>
    </row>
    <row r="24" spans="1:14" ht="28.5" customHeigh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4" ht="36.75" customHeight="1" x14ac:dyDescent="0.3">
      <c r="A25" s="4"/>
      <c r="B25" s="4"/>
      <c r="C25" s="4"/>
      <c r="D25" s="4"/>
      <c r="E25" s="4"/>
      <c r="F25" s="4"/>
      <c r="G25" s="4"/>
      <c r="H25" s="358"/>
      <c r="I25" s="4"/>
      <c r="J25" s="4"/>
      <c r="K25" s="4"/>
      <c r="L25" s="4"/>
    </row>
    <row r="26" spans="1:14" ht="28.5" customHeight="1" x14ac:dyDescent="0.3">
      <c r="E26" s="4"/>
      <c r="H26" s="46"/>
    </row>
    <row r="27" spans="1:14" ht="18.75" x14ac:dyDescent="0.3">
      <c r="E27" s="4"/>
    </row>
  </sheetData>
  <sheetProtection selectLockedCells="1"/>
  <mergeCells count="17">
    <mergeCell ref="B16:E16"/>
    <mergeCell ref="A18:N18"/>
    <mergeCell ref="A21:N21"/>
    <mergeCell ref="A17:N17"/>
    <mergeCell ref="F16:G16"/>
    <mergeCell ref="A1:N1"/>
    <mergeCell ref="A2:N2"/>
    <mergeCell ref="A3:N3"/>
    <mergeCell ref="A4:N4"/>
    <mergeCell ref="A15:N15"/>
    <mergeCell ref="A6:N6"/>
    <mergeCell ref="I7:N7"/>
    <mergeCell ref="E7:H7"/>
    <mergeCell ref="A10:K10"/>
    <mergeCell ref="A9:C9"/>
    <mergeCell ref="A8:C8"/>
    <mergeCell ref="A7:C7"/>
  </mergeCells>
  <phoneticPr fontId="0" type="noConversion"/>
  <printOptions horizontalCentered="1" verticalCentered="1"/>
  <pageMargins left="0.31496062992125984" right="0.31496062992125984" top="0.59055118110236227" bottom="0.59055118110236227" header="0.31496062992125984" footer="0.31496062992125984"/>
  <pageSetup paperSize="9" scale="73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workbookViewId="0">
      <selection activeCell="T24" sqref="T24"/>
    </sheetView>
  </sheetViews>
  <sheetFormatPr defaultRowHeight="15" x14ac:dyDescent="0.25"/>
  <cols>
    <col min="1" max="1" width="5.140625" customWidth="1"/>
    <col min="2" max="2" width="19.7109375" customWidth="1"/>
    <col min="3" max="3" width="9.7109375" customWidth="1"/>
    <col min="4" max="4" width="8.28515625" customWidth="1"/>
    <col min="5" max="5" width="9.140625" customWidth="1"/>
    <col min="6" max="6" width="9.28515625" customWidth="1"/>
    <col min="7" max="7" width="8" customWidth="1"/>
    <col min="8" max="8" width="7.7109375" customWidth="1"/>
    <col min="9" max="9" width="8.85546875" customWidth="1"/>
    <col min="10" max="11" width="7.7109375" customWidth="1"/>
    <col min="12" max="12" width="8.140625" customWidth="1"/>
    <col min="13" max="14" width="7.7109375" customWidth="1"/>
    <col min="15" max="15" width="5.7109375" customWidth="1"/>
    <col min="16" max="16" width="7.28515625" customWidth="1"/>
    <col min="17" max="17" width="10.7109375" customWidth="1"/>
    <col min="18" max="18" width="10.42578125" customWidth="1"/>
    <col min="19" max="19" width="8.42578125" customWidth="1"/>
    <col min="20" max="20" width="5.7109375" customWidth="1"/>
  </cols>
  <sheetData>
    <row r="1" spans="1:20" x14ac:dyDescent="0.25">
      <c r="A1" s="979" t="s">
        <v>371</v>
      </c>
      <c r="B1" s="979"/>
      <c r="C1" s="979"/>
      <c r="D1" s="979"/>
      <c r="E1" s="979"/>
      <c r="F1" s="979"/>
      <c r="G1" s="979"/>
      <c r="H1" s="979"/>
      <c r="I1" s="979"/>
      <c r="J1" s="979"/>
      <c r="K1" s="979"/>
      <c r="L1" s="979"/>
      <c r="M1" s="979"/>
      <c r="N1" s="979"/>
      <c r="O1" s="979"/>
      <c r="P1" s="979"/>
      <c r="Q1" s="979"/>
      <c r="R1" s="979"/>
      <c r="S1" s="979"/>
      <c r="T1" s="979"/>
    </row>
    <row r="2" spans="1:20" x14ac:dyDescent="0.25">
      <c r="A2" s="979"/>
      <c r="B2" s="979"/>
      <c r="C2" s="979"/>
      <c r="D2" s="979"/>
      <c r="E2" s="979"/>
      <c r="F2" s="979"/>
      <c r="G2" s="979"/>
      <c r="H2" s="979"/>
      <c r="I2" s="979"/>
      <c r="J2" s="979"/>
      <c r="K2" s="979"/>
      <c r="L2" s="979"/>
      <c r="M2" s="979"/>
      <c r="N2" s="979"/>
      <c r="O2" s="979"/>
      <c r="P2" s="979"/>
      <c r="Q2" s="979"/>
      <c r="R2" s="979"/>
      <c r="S2" s="979"/>
      <c r="T2" s="979"/>
    </row>
    <row r="3" spans="1:20" x14ac:dyDescent="0.25">
      <c r="A3" s="980"/>
      <c r="B3" s="980"/>
      <c r="C3" s="980"/>
      <c r="D3" s="980"/>
      <c r="E3" s="980"/>
      <c r="F3" s="980"/>
      <c r="G3" s="980"/>
      <c r="H3" s="980"/>
      <c r="I3" s="980"/>
      <c r="J3" s="980"/>
      <c r="K3" s="980"/>
      <c r="L3" s="980"/>
      <c r="M3" s="980"/>
      <c r="N3" s="980"/>
      <c r="O3" s="980"/>
      <c r="P3" s="980"/>
      <c r="Q3" s="980"/>
      <c r="R3" s="980"/>
      <c r="S3" s="980"/>
      <c r="T3" s="980"/>
    </row>
    <row r="4" spans="1:20" x14ac:dyDescent="0.25">
      <c r="A4" s="93" t="s">
        <v>250</v>
      </c>
      <c r="B4" s="93" t="s">
        <v>372</v>
      </c>
      <c r="C4" s="978" t="s">
        <v>524</v>
      </c>
      <c r="D4" s="978"/>
      <c r="E4" s="978"/>
      <c r="F4" s="978"/>
      <c r="G4" s="978"/>
      <c r="H4" s="978"/>
      <c r="I4" s="978"/>
      <c r="J4" s="283"/>
      <c r="K4" s="283"/>
      <c r="L4" s="283"/>
      <c r="M4" s="283"/>
      <c r="N4" s="283"/>
      <c r="O4" s="283"/>
      <c r="P4" s="283"/>
      <c r="Q4" s="93" t="s">
        <v>373</v>
      </c>
      <c r="R4" s="93" t="s">
        <v>508</v>
      </c>
      <c r="S4" s="93" t="s">
        <v>374</v>
      </c>
      <c r="T4" s="284" t="s">
        <v>375</v>
      </c>
    </row>
    <row r="5" spans="1:20" x14ac:dyDescent="0.25">
      <c r="A5" s="93" t="s">
        <v>129</v>
      </c>
      <c r="B5" s="93" t="s">
        <v>1</v>
      </c>
      <c r="C5" s="337">
        <f>'Curva ABC de Insumos'!F6</f>
        <v>6713.6850096999997</v>
      </c>
      <c r="D5" s="290"/>
      <c r="E5" s="291"/>
      <c r="F5" s="291"/>
      <c r="G5" s="291"/>
      <c r="H5" s="291"/>
      <c r="I5" s="291"/>
      <c r="J5" s="291"/>
      <c r="K5" s="291"/>
      <c r="L5" s="291"/>
      <c r="M5" s="291"/>
      <c r="N5" s="291"/>
      <c r="O5" s="93"/>
      <c r="P5" s="93"/>
      <c r="Q5" s="94">
        <f>C5+D5+E5+F5+G5+H5+I5+J5+K5+L5+M5+N5+O5+P5</f>
        <v>6713.6850096999997</v>
      </c>
      <c r="R5" s="96">
        <v>6</v>
      </c>
      <c r="S5" s="95">
        <f>Q5/(180*R5)</f>
        <v>6.2163750089814815</v>
      </c>
      <c r="T5" s="285">
        <v>6</v>
      </c>
    </row>
    <row r="6" spans="1:20" x14ac:dyDescent="0.25">
      <c r="A6" s="93" t="s">
        <v>130</v>
      </c>
      <c r="B6" s="93" t="s">
        <v>7</v>
      </c>
      <c r="C6" s="333">
        <f>'Curva ABC de Insumos'!F7</f>
        <v>3890.8596392999998</v>
      </c>
      <c r="D6" s="46">
        <f>'Curva ABC de Insumos'!F22</f>
        <v>260.06862000000001</v>
      </c>
      <c r="E6" s="333">
        <f>'Curva ABC de Insumos'!F34</f>
        <v>6.7105791999999997</v>
      </c>
      <c r="F6" s="333">
        <f>'Curva ABC de Insumos'!F35</f>
        <v>4.8503999999999996</v>
      </c>
      <c r="G6" s="281"/>
      <c r="H6" s="319"/>
      <c r="I6" s="336"/>
      <c r="J6" s="290"/>
      <c r="K6" s="290"/>
      <c r="L6" s="290"/>
      <c r="M6" s="290"/>
      <c r="N6" s="290"/>
      <c r="O6" s="48"/>
      <c r="P6" s="48"/>
      <c r="Q6" s="94">
        <f t="shared" ref="Q6:Q23" si="0">C6+D6+E6+F6+G6+H6+I6+J6+K6+L6+M6+N6+O6+P6</f>
        <v>4162.4892385000003</v>
      </c>
      <c r="R6" s="96">
        <v>6</v>
      </c>
      <c r="S6" s="95">
        <f t="shared" ref="S6:S24" si="1">Q6/(180*R6)</f>
        <v>3.8541567023148149</v>
      </c>
      <c r="T6" s="117">
        <v>4</v>
      </c>
    </row>
    <row r="7" spans="1:20" x14ac:dyDescent="0.25">
      <c r="A7" s="93" t="s">
        <v>131</v>
      </c>
      <c r="B7" s="93" t="s">
        <v>376</v>
      </c>
      <c r="C7" s="333">
        <f>'Curva ABC de Insumos'!F11</f>
        <v>1339.4072589</v>
      </c>
      <c r="D7" s="333"/>
      <c r="E7" s="281"/>
      <c r="F7" s="334"/>
      <c r="G7" s="335"/>
      <c r="H7" s="290"/>
      <c r="I7" s="290"/>
      <c r="J7" s="290"/>
      <c r="K7" s="290"/>
      <c r="L7" s="290"/>
      <c r="M7" s="290"/>
      <c r="N7" s="290"/>
      <c r="O7" s="48"/>
      <c r="P7" s="48"/>
      <c r="Q7" s="94">
        <f t="shared" si="0"/>
        <v>1339.4072589</v>
      </c>
      <c r="R7" s="96">
        <v>6</v>
      </c>
      <c r="S7" s="95">
        <f t="shared" si="1"/>
        <v>1.2401919063888889</v>
      </c>
      <c r="T7" s="117">
        <v>1</v>
      </c>
    </row>
    <row r="8" spans="1:20" x14ac:dyDescent="0.25">
      <c r="A8" s="93" t="s">
        <v>132</v>
      </c>
      <c r="B8" s="93" t="s">
        <v>561</v>
      </c>
      <c r="C8" s="281">
        <f>'Curva ABC de Insumos'!F12</f>
        <v>1227.8213355</v>
      </c>
      <c r="D8" s="323"/>
      <c r="E8" s="324"/>
      <c r="F8" s="334"/>
      <c r="G8" s="335"/>
      <c r="H8" s="290"/>
      <c r="I8" s="290"/>
      <c r="J8" s="290"/>
      <c r="K8" s="290"/>
      <c r="L8" s="290"/>
      <c r="M8" s="290"/>
      <c r="N8" s="290"/>
      <c r="O8" s="48"/>
      <c r="P8" s="48"/>
      <c r="Q8" s="94">
        <f t="shared" si="0"/>
        <v>1227.8213355</v>
      </c>
      <c r="R8" s="96">
        <v>6</v>
      </c>
      <c r="S8" s="95">
        <f t="shared" si="1"/>
        <v>1.1368716069444444</v>
      </c>
      <c r="T8" s="117">
        <v>1</v>
      </c>
    </row>
    <row r="9" spans="1:20" x14ac:dyDescent="0.25">
      <c r="A9" s="93" t="s">
        <v>133</v>
      </c>
      <c r="B9" s="93" t="s">
        <v>554</v>
      </c>
      <c r="C9" s="46">
        <f>'Curva ABC de Insumos'!F16</f>
        <v>737.29262719999997</v>
      </c>
      <c r="D9" s="323">
        <f>'Curva ABC de Insumos'!F33</f>
        <v>12.468400000000001</v>
      </c>
      <c r="E9" s="333"/>
      <c r="F9" s="325"/>
      <c r="G9" s="322"/>
      <c r="H9" s="290"/>
      <c r="I9" s="290"/>
      <c r="J9" s="290"/>
      <c r="K9" s="290"/>
      <c r="L9" s="290"/>
      <c r="M9" s="290"/>
      <c r="N9" s="290"/>
      <c r="O9" s="48"/>
      <c r="P9" s="48"/>
      <c r="Q9" s="94">
        <f t="shared" si="0"/>
        <v>749.76102719999994</v>
      </c>
      <c r="R9" s="96">
        <v>6</v>
      </c>
      <c r="S9" s="95">
        <f t="shared" si="1"/>
        <v>0.69422317333333328</v>
      </c>
      <c r="T9" s="117"/>
    </row>
    <row r="10" spans="1:20" x14ac:dyDescent="0.25">
      <c r="A10" s="93" t="s">
        <v>134</v>
      </c>
      <c r="B10" s="93" t="s">
        <v>593</v>
      </c>
      <c r="C10" s="333"/>
      <c r="D10" s="323"/>
      <c r="E10" s="324"/>
      <c r="F10" s="325"/>
      <c r="G10" s="322"/>
      <c r="H10" s="290"/>
      <c r="I10" s="290"/>
      <c r="J10" s="290"/>
      <c r="K10" s="290"/>
      <c r="L10" s="290"/>
      <c r="M10" s="290"/>
      <c r="N10" s="290"/>
      <c r="O10" s="48"/>
      <c r="P10" s="48"/>
      <c r="Q10" s="94">
        <f t="shared" si="0"/>
        <v>0</v>
      </c>
      <c r="R10" s="96">
        <v>6</v>
      </c>
      <c r="S10" s="95">
        <f t="shared" si="1"/>
        <v>0</v>
      </c>
      <c r="T10" s="117"/>
    </row>
    <row r="11" spans="1:20" x14ac:dyDescent="0.25">
      <c r="A11" s="93" t="s">
        <v>135</v>
      </c>
      <c r="B11" s="93" t="s">
        <v>562</v>
      </c>
      <c r="C11" s="291"/>
      <c r="D11" s="323"/>
      <c r="E11" s="324"/>
      <c r="F11" s="325"/>
      <c r="G11" s="322"/>
      <c r="H11" s="290"/>
      <c r="I11" s="290"/>
      <c r="J11" s="290"/>
      <c r="K11" s="290"/>
      <c r="L11" s="290"/>
      <c r="M11" s="290"/>
      <c r="N11" s="290"/>
      <c r="O11" s="48"/>
      <c r="P11" s="48"/>
      <c r="Q11" s="94">
        <f t="shared" si="0"/>
        <v>0</v>
      </c>
      <c r="R11" s="96">
        <v>6</v>
      </c>
      <c r="S11" s="95">
        <f t="shared" si="1"/>
        <v>0</v>
      </c>
      <c r="T11" s="117"/>
    </row>
    <row r="12" spans="1:20" x14ac:dyDescent="0.25">
      <c r="A12" s="93" t="s">
        <v>136</v>
      </c>
      <c r="B12" s="93" t="s">
        <v>9</v>
      </c>
      <c r="C12" s="333">
        <f>'Curva ABC de Insumos'!F8</f>
        <v>3547.5678876000002</v>
      </c>
      <c r="D12" s="323"/>
      <c r="E12" s="324"/>
      <c r="F12" s="325"/>
      <c r="G12" s="322"/>
      <c r="H12" s="290"/>
      <c r="I12" s="290"/>
      <c r="J12" s="290"/>
      <c r="K12" s="290"/>
      <c r="L12" s="290"/>
      <c r="M12" s="290"/>
      <c r="N12" s="290"/>
      <c r="O12" s="48"/>
      <c r="P12" s="48"/>
      <c r="Q12" s="94">
        <f t="shared" si="0"/>
        <v>3547.5678876000002</v>
      </c>
      <c r="R12" s="96">
        <v>6</v>
      </c>
      <c r="S12" s="95">
        <f t="shared" si="1"/>
        <v>3.2847850811111114</v>
      </c>
      <c r="T12" s="117">
        <v>3</v>
      </c>
    </row>
    <row r="13" spans="1:20" x14ac:dyDescent="0.25">
      <c r="A13" s="93" t="s">
        <v>137</v>
      </c>
      <c r="B13" s="93" t="s">
        <v>0</v>
      </c>
      <c r="C13" s="333">
        <f>'Curva ABC de Insumos'!F9</f>
        <v>2562.141842</v>
      </c>
      <c r="D13" s="281">
        <f>'Curva ABC de Insumos'!F38</f>
        <v>0.51329999999999998</v>
      </c>
      <c r="E13" s="281"/>
      <c r="F13" s="325"/>
      <c r="G13" s="322"/>
      <c r="H13" s="290"/>
      <c r="I13" s="290"/>
      <c r="J13" s="290"/>
      <c r="K13" s="290"/>
      <c r="L13" s="290"/>
      <c r="M13" s="290"/>
      <c r="N13" s="290"/>
      <c r="O13" s="48"/>
      <c r="P13" s="48"/>
      <c r="Q13" s="94">
        <f t="shared" si="0"/>
        <v>2562.6551420000001</v>
      </c>
      <c r="R13" s="96">
        <v>6</v>
      </c>
      <c r="S13" s="95">
        <f t="shared" si="1"/>
        <v>2.3728288351851852</v>
      </c>
      <c r="T13" s="117">
        <v>2</v>
      </c>
    </row>
    <row r="14" spans="1:20" x14ac:dyDescent="0.25">
      <c r="A14" s="93" t="s">
        <v>409</v>
      </c>
      <c r="B14" s="93" t="s">
        <v>564</v>
      </c>
      <c r="C14" s="333">
        <f>'Curva ABC de Insumos'!F29</f>
        <v>56.855545800000002</v>
      </c>
      <c r="D14" s="323"/>
      <c r="E14" s="324"/>
      <c r="F14" s="325"/>
      <c r="G14" s="322"/>
      <c r="H14" s="290"/>
      <c r="I14" s="290"/>
      <c r="J14" s="290"/>
      <c r="K14" s="290"/>
      <c r="L14" s="290"/>
      <c r="M14" s="290"/>
      <c r="N14" s="290"/>
      <c r="O14" s="48"/>
      <c r="P14" s="48"/>
      <c r="Q14" s="94">
        <f t="shared" si="0"/>
        <v>56.855545800000002</v>
      </c>
      <c r="R14" s="96">
        <v>6</v>
      </c>
      <c r="S14" s="95">
        <f t="shared" si="1"/>
        <v>5.2644023888888891E-2</v>
      </c>
      <c r="T14" s="117"/>
    </row>
    <row r="15" spans="1:20" x14ac:dyDescent="0.25">
      <c r="A15" s="93" t="s">
        <v>555</v>
      </c>
      <c r="B15" s="93" t="s">
        <v>377</v>
      </c>
      <c r="C15" s="333">
        <f>'Curva ABC de Insumos'!F18</f>
        <v>691.03224499999999</v>
      </c>
      <c r="D15" s="46">
        <f>'Curva ABC de Insumos'!F32</f>
        <v>20.21</v>
      </c>
      <c r="E15" s="324"/>
      <c r="F15" s="325"/>
      <c r="G15" s="322"/>
      <c r="H15" s="290"/>
      <c r="I15" s="290"/>
      <c r="J15" s="290"/>
      <c r="K15" s="290"/>
      <c r="L15" s="290"/>
      <c r="M15" s="290"/>
      <c r="N15" s="290"/>
      <c r="O15" s="48"/>
      <c r="P15" s="48"/>
      <c r="Q15" s="94">
        <f t="shared" si="0"/>
        <v>711.24224500000003</v>
      </c>
      <c r="R15" s="96">
        <v>6</v>
      </c>
      <c r="S15" s="95">
        <f t="shared" si="1"/>
        <v>0.65855763425925928</v>
      </c>
      <c r="T15" s="117">
        <v>1</v>
      </c>
    </row>
    <row r="16" spans="1:20" x14ac:dyDescent="0.25">
      <c r="A16" s="93" t="s">
        <v>556</v>
      </c>
      <c r="B16" s="93" t="s">
        <v>424</v>
      </c>
      <c r="C16" s="333">
        <f>'Curva ABC de Insumos'!F14</f>
        <v>855.82370860000003</v>
      </c>
      <c r="D16" s="323"/>
      <c r="E16" s="324"/>
      <c r="F16" s="325"/>
      <c r="G16" s="322"/>
      <c r="H16" s="290"/>
      <c r="I16" s="290"/>
      <c r="J16" s="290"/>
      <c r="K16" s="290"/>
      <c r="L16" s="290"/>
      <c r="M16" s="290"/>
      <c r="N16" s="290"/>
      <c r="O16" s="48"/>
      <c r="P16" s="48"/>
      <c r="Q16" s="94">
        <f t="shared" si="0"/>
        <v>855.82370860000003</v>
      </c>
      <c r="R16" s="96">
        <v>6</v>
      </c>
      <c r="S16" s="95">
        <f t="shared" si="1"/>
        <v>0.79242935981481488</v>
      </c>
      <c r="T16" s="339">
        <v>1</v>
      </c>
    </row>
    <row r="17" spans="1:21" x14ac:dyDescent="0.25">
      <c r="A17" s="93" t="s">
        <v>557</v>
      </c>
      <c r="B17" s="93" t="s">
        <v>425</v>
      </c>
      <c r="C17" s="333">
        <f>'Curva ABC de Insumos'!F15</f>
        <v>787.10173999999995</v>
      </c>
      <c r="D17" s="281"/>
      <c r="E17" s="324"/>
      <c r="F17" s="325"/>
      <c r="G17" s="322"/>
      <c r="H17" s="290"/>
      <c r="I17" s="290"/>
      <c r="J17" s="290"/>
      <c r="K17" s="290"/>
      <c r="L17" s="290"/>
      <c r="M17" s="290"/>
      <c r="N17" s="290"/>
      <c r="O17" s="48"/>
      <c r="P17" s="48"/>
      <c r="Q17" s="94">
        <f t="shared" si="0"/>
        <v>787.10173999999995</v>
      </c>
      <c r="R17" s="96">
        <v>6</v>
      </c>
      <c r="S17" s="95">
        <f t="shared" si="1"/>
        <v>0.72879790740740735</v>
      </c>
      <c r="T17" s="117">
        <v>1</v>
      </c>
    </row>
    <row r="18" spans="1:21" x14ac:dyDescent="0.25">
      <c r="A18" s="93" t="s">
        <v>558</v>
      </c>
      <c r="B18" s="93" t="s">
        <v>380</v>
      </c>
      <c r="C18" s="281">
        <f>'Curva ABC de Insumos'!F31</f>
        <v>30.835407499999999</v>
      </c>
      <c r="D18" s="323"/>
      <c r="E18" s="324"/>
      <c r="F18" s="325"/>
      <c r="G18" s="322"/>
      <c r="H18" s="290"/>
      <c r="I18" s="290"/>
      <c r="J18" s="290"/>
      <c r="K18" s="290"/>
      <c r="L18" s="290"/>
      <c r="M18" s="290"/>
      <c r="N18" s="290"/>
      <c r="O18" s="48"/>
      <c r="P18" s="48"/>
      <c r="Q18" s="94">
        <f t="shared" si="0"/>
        <v>30.835407499999999</v>
      </c>
      <c r="R18" s="96">
        <v>6</v>
      </c>
      <c r="S18" s="95">
        <f t="shared" si="1"/>
        <v>2.855130324074074E-2</v>
      </c>
      <c r="T18" s="339"/>
    </row>
    <row r="19" spans="1:21" x14ac:dyDescent="0.25">
      <c r="A19" s="93" t="s">
        <v>559</v>
      </c>
      <c r="B19" s="93" t="s">
        <v>675</v>
      </c>
      <c r="C19" s="281"/>
      <c r="D19" s="323"/>
      <c r="E19" s="324"/>
      <c r="F19" s="325"/>
      <c r="G19" s="322"/>
      <c r="H19" s="290"/>
      <c r="I19" s="290"/>
      <c r="J19" s="290"/>
      <c r="K19" s="290"/>
      <c r="L19" s="290"/>
      <c r="M19" s="290"/>
      <c r="N19" s="290"/>
      <c r="O19" s="48"/>
      <c r="P19" s="48"/>
      <c r="Q19" s="94">
        <f t="shared" si="0"/>
        <v>0</v>
      </c>
      <c r="R19" s="96">
        <v>6</v>
      </c>
      <c r="S19" s="95">
        <f t="shared" si="1"/>
        <v>0</v>
      </c>
      <c r="T19" s="117"/>
    </row>
    <row r="20" spans="1:21" x14ac:dyDescent="0.25">
      <c r="A20" s="93" t="s">
        <v>560</v>
      </c>
      <c r="B20" s="93" t="s">
        <v>191</v>
      </c>
      <c r="C20" s="281">
        <f>'Curva ABC de Insumos'!F37</f>
        <v>1.022</v>
      </c>
      <c r="D20" s="86"/>
      <c r="E20" s="324"/>
      <c r="F20" s="325"/>
      <c r="G20" s="322"/>
      <c r="H20" s="290"/>
      <c r="I20" s="290"/>
      <c r="J20" s="290"/>
      <c r="K20" s="290"/>
      <c r="L20" s="290"/>
      <c r="M20" s="290"/>
      <c r="N20" s="290"/>
      <c r="O20" s="48"/>
      <c r="P20" s="48"/>
      <c r="Q20" s="94">
        <f t="shared" si="0"/>
        <v>1.022</v>
      </c>
      <c r="R20" s="96">
        <v>6</v>
      </c>
      <c r="S20" s="95">
        <f t="shared" si="1"/>
        <v>9.4629629629629632E-4</v>
      </c>
      <c r="T20" s="117"/>
    </row>
    <row r="21" spans="1:21" x14ac:dyDescent="0.25">
      <c r="A21" s="93" t="s">
        <v>674</v>
      </c>
      <c r="B21" s="93" t="s">
        <v>378</v>
      </c>
      <c r="C21" s="359">
        <f>'Curva ABC de Insumos'!F21</f>
        <v>580.61163369999997</v>
      </c>
      <c r="D21" s="46">
        <f>'Curva ABC de Insumos'!F25</f>
        <v>110.29075330000001</v>
      </c>
      <c r="E21" s="366">
        <f>'Curva ABC de Insumos'!F26</f>
        <v>70.711281200000002</v>
      </c>
      <c r="F21" s="377">
        <f>'Curva ABC de Insumos'!F27</f>
        <v>82.680956399999999</v>
      </c>
      <c r="G21" s="360">
        <f>'Curva ABC de Insumos'!F28</f>
        <v>55.873054799999998</v>
      </c>
      <c r="H21" s="367">
        <f>'Curva ABC de Insumos'!F30</f>
        <v>49.4495559</v>
      </c>
      <c r="I21" s="361">
        <f>'Curva ABC de Insumos'!F36</f>
        <v>1.2415582000000001</v>
      </c>
      <c r="J21" s="120">
        <f>'Curva ABC de Insumos'!F39</f>
        <v>0.4325272</v>
      </c>
      <c r="K21" s="361">
        <f>'Curva ABC de Insumos'!F40</f>
        <v>0.28884929999999998</v>
      </c>
      <c r="L21" s="362">
        <f>'Curva ABC de Insumos'!F41</f>
        <v>8.4495600000000004E-2</v>
      </c>
      <c r="M21" s="360">
        <f>'Curva ABC de Insumos'!F42</f>
        <v>0.1046136</v>
      </c>
      <c r="O21" s="48"/>
      <c r="P21" s="48"/>
      <c r="Q21" s="94">
        <f>C21+D21+E21+F21+G21+H21+I21+J21+K21+L21+M21+N21+O21+P21</f>
        <v>951.76927919999991</v>
      </c>
      <c r="R21" s="96">
        <v>6</v>
      </c>
      <c r="S21" s="95">
        <f t="shared" si="1"/>
        <v>0.88126785111111106</v>
      </c>
      <c r="T21" s="117"/>
    </row>
    <row r="22" spans="1:21" ht="15" customHeight="1" x14ac:dyDescent="0.25">
      <c r="A22" s="93" t="s">
        <v>679</v>
      </c>
      <c r="B22" s="93" t="s">
        <v>379</v>
      </c>
      <c r="C22" s="333">
        <f>'Curva ABC de Insumos'!F10</f>
        <v>2177.5186577999998</v>
      </c>
      <c r="D22" s="86">
        <f>'Curva ABC de Insumos'!F13</f>
        <v>1368.4999052999999</v>
      </c>
      <c r="E22" s="86">
        <f>'Curva ABC de Insumos'!F17</f>
        <v>934.05898839999998</v>
      </c>
      <c r="F22" s="333">
        <f>'Curva ABC de Insumos'!F19</f>
        <v>714.51134000000002</v>
      </c>
      <c r="G22" s="333">
        <f>'Curva ABC de Insumos'!F20</f>
        <v>640.66710499999999</v>
      </c>
      <c r="H22" s="86">
        <f>'Curva ABC de Insumos'!F23</f>
        <v>177.8345339</v>
      </c>
      <c r="I22" s="86">
        <f>'Curva ABC de Insumos'!F24</f>
        <v>148.86297010000001</v>
      </c>
      <c r="J22" s="333"/>
      <c r="K22" s="48"/>
      <c r="L22" s="48"/>
      <c r="M22" s="48"/>
      <c r="N22" s="48"/>
      <c r="O22" s="48"/>
      <c r="P22" s="48"/>
      <c r="Q22" s="94">
        <f t="shared" si="0"/>
        <v>6161.9535004999998</v>
      </c>
      <c r="R22" s="96">
        <v>6</v>
      </c>
      <c r="S22" s="95">
        <f t="shared" si="1"/>
        <v>5.7055125004629632</v>
      </c>
      <c r="T22" s="117">
        <v>5</v>
      </c>
      <c r="U22">
        <v>6</v>
      </c>
    </row>
    <row r="23" spans="1:21" x14ac:dyDescent="0.25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94">
        <f t="shared" si="0"/>
        <v>0</v>
      </c>
      <c r="R23" s="96">
        <v>6</v>
      </c>
      <c r="S23" s="95">
        <f t="shared" si="1"/>
        <v>0</v>
      </c>
      <c r="T23" s="117"/>
    </row>
    <row r="24" spans="1:21" x14ac:dyDescent="0.25">
      <c r="A24" s="978" t="s">
        <v>373</v>
      </c>
      <c r="B24" s="978"/>
      <c r="C24" s="978"/>
      <c r="D24" s="978"/>
      <c r="E24" s="978"/>
      <c r="F24" s="978"/>
      <c r="G24" s="978"/>
      <c r="H24" s="978"/>
      <c r="I24" s="978"/>
      <c r="J24" s="283"/>
      <c r="K24" s="283"/>
      <c r="L24" s="283"/>
      <c r="M24" s="283"/>
      <c r="N24" s="283"/>
      <c r="O24" s="283"/>
      <c r="P24" s="283"/>
      <c r="Q24" s="317">
        <f>SUM(Q5:Q23)</f>
        <v>29859.990326000006</v>
      </c>
      <c r="R24" s="96">
        <v>6</v>
      </c>
      <c r="S24" s="95">
        <f t="shared" si="1"/>
        <v>27.648139190740746</v>
      </c>
      <c r="T24" s="363">
        <f>SUM(T5:T23)</f>
        <v>25</v>
      </c>
      <c r="U24" s="46"/>
    </row>
    <row r="25" spans="1:21" x14ac:dyDescent="0.25">
      <c r="Q25" s="320">
        <f>'Curva ABC de Insumos'!F43</f>
        <v>29859.990325999992</v>
      </c>
      <c r="S25" s="282"/>
      <c r="U25" s="39"/>
    </row>
    <row r="26" spans="1:21" x14ac:dyDescent="0.25">
      <c r="Q26" s="316">
        <f>Q25-Q24</f>
        <v>0</v>
      </c>
      <c r="R26" s="46"/>
    </row>
    <row r="27" spans="1:21" x14ac:dyDescent="0.25">
      <c r="O27" s="46"/>
      <c r="Q27" s="46"/>
    </row>
    <row r="28" spans="1:21" x14ac:dyDescent="0.25">
      <c r="D28" s="281"/>
      <c r="Q28" s="46"/>
    </row>
  </sheetData>
  <mergeCells count="4">
    <mergeCell ref="A24:I24"/>
    <mergeCell ref="A1:T2"/>
    <mergeCell ref="A3:T3"/>
    <mergeCell ref="C4:I4"/>
  </mergeCells>
  <pageMargins left="0.28000000000000003" right="0.51181102362204722" top="0.79" bottom="0.78740157480314965" header="0.31496062992125984" footer="0.31496062992125984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1"/>
  <sheetViews>
    <sheetView showOutlineSymbols="0" showWhiteSpace="0" topLeftCell="A31" workbookViewId="0">
      <selection activeCell="F43" sqref="F43"/>
    </sheetView>
  </sheetViews>
  <sheetFormatPr defaultColWidth="9.140625" defaultRowHeight="14.25" x14ac:dyDescent="0.2"/>
  <cols>
    <col min="1" max="1" width="11.42578125" style="370" bestFit="1" customWidth="1"/>
    <col min="2" max="2" width="8.85546875" style="370" customWidth="1"/>
    <col min="3" max="3" width="56.85546875" style="370" customWidth="1"/>
    <col min="4" max="4" width="12.85546875" style="370" customWidth="1"/>
    <col min="5" max="5" width="8.7109375" style="370" customWidth="1"/>
    <col min="6" max="6" width="14.85546875" style="370" bestFit="1" customWidth="1"/>
    <col min="7" max="7" width="13.7109375" style="370" customWidth="1"/>
    <col min="8" max="8" width="0.42578125" style="370" hidden="1" customWidth="1"/>
    <col min="9" max="12" width="14.85546875" style="370" hidden="1" customWidth="1"/>
    <col min="13" max="13" width="0.85546875" style="370" hidden="1" customWidth="1"/>
    <col min="14" max="14" width="14.85546875" style="370" hidden="1" customWidth="1"/>
    <col min="15" max="15" width="13.140625" style="370" customWidth="1"/>
    <col min="16" max="16" width="14.85546875" style="370" bestFit="1" customWidth="1"/>
    <col min="17" max="17" width="17.140625" style="370" bestFit="1" customWidth="1"/>
    <col min="18" max="16384" width="9.140625" style="370"/>
  </cols>
  <sheetData>
    <row r="1" spans="1:17" ht="15" x14ac:dyDescent="0.2">
      <c r="A1" s="374"/>
      <c r="B1" s="374"/>
      <c r="C1" s="374" t="s">
        <v>756</v>
      </c>
      <c r="D1" s="374" t="s">
        <v>755</v>
      </c>
      <c r="E1" s="987" t="s">
        <v>754</v>
      </c>
      <c r="F1" s="987"/>
      <c r="G1" s="987"/>
      <c r="H1" s="987" t="s">
        <v>753</v>
      </c>
      <c r="I1" s="987"/>
      <c r="J1" s="987"/>
      <c r="K1" s="987"/>
      <c r="L1" s="982"/>
      <c r="M1" s="982"/>
      <c r="N1" s="982"/>
      <c r="O1" s="982"/>
    </row>
    <row r="2" spans="1:17" ht="80.099999999999994" customHeight="1" x14ac:dyDescent="0.2">
      <c r="A2" s="372"/>
      <c r="B2" s="372"/>
      <c r="C2" s="372" t="s">
        <v>806</v>
      </c>
      <c r="D2" s="372" t="s">
        <v>814</v>
      </c>
      <c r="E2" s="984" t="s">
        <v>772</v>
      </c>
      <c r="F2" s="984"/>
      <c r="G2" s="984"/>
      <c r="H2" s="984" t="s">
        <v>773</v>
      </c>
      <c r="I2" s="984"/>
      <c r="J2" s="984"/>
      <c r="K2" s="984"/>
      <c r="L2" s="982"/>
      <c r="M2" s="982"/>
      <c r="N2" s="982"/>
      <c r="O2" s="982"/>
    </row>
    <row r="3" spans="1:17" ht="15" x14ac:dyDescent="0.25">
      <c r="A3" s="988" t="s">
        <v>752</v>
      </c>
      <c r="B3" s="982"/>
      <c r="C3" s="982"/>
      <c r="D3" s="982"/>
      <c r="E3" s="982"/>
      <c r="F3" s="982"/>
      <c r="G3" s="982"/>
      <c r="H3" s="982"/>
      <c r="I3" s="982"/>
      <c r="J3" s="982"/>
      <c r="K3" s="982"/>
      <c r="L3" s="982"/>
      <c r="M3" s="982"/>
      <c r="N3" s="982"/>
      <c r="O3" s="982"/>
      <c r="P3" s="982"/>
      <c r="Q3" s="982"/>
    </row>
    <row r="4" spans="1:17" ht="20.100000000000001" customHeight="1" x14ac:dyDescent="0.2">
      <c r="A4" s="989" t="s">
        <v>751</v>
      </c>
      <c r="B4" s="991" t="s">
        <v>750</v>
      </c>
      <c r="C4" s="991" t="s">
        <v>507</v>
      </c>
      <c r="D4" s="991" t="s">
        <v>749</v>
      </c>
      <c r="E4" s="990" t="s">
        <v>280</v>
      </c>
      <c r="F4" s="990" t="s">
        <v>748</v>
      </c>
      <c r="G4" s="989"/>
      <c r="H4" s="990" t="s">
        <v>747</v>
      </c>
      <c r="I4" s="989"/>
      <c r="J4" s="990" t="s">
        <v>373</v>
      </c>
      <c r="K4" s="989"/>
      <c r="L4" s="989"/>
      <c r="M4" s="989" t="s">
        <v>746</v>
      </c>
      <c r="N4" s="989" t="s">
        <v>745</v>
      </c>
      <c r="O4" s="989" t="s">
        <v>744</v>
      </c>
      <c r="P4" s="982"/>
      <c r="Q4" s="982"/>
    </row>
    <row r="5" spans="1:17" ht="20.100000000000001" customHeight="1" x14ac:dyDescent="0.2">
      <c r="A5" s="989"/>
      <c r="B5" s="991"/>
      <c r="C5" s="991"/>
      <c r="D5" s="991"/>
      <c r="E5" s="990"/>
      <c r="F5" s="375" t="s">
        <v>743</v>
      </c>
      <c r="G5" s="375" t="s">
        <v>742</v>
      </c>
      <c r="H5" s="375" t="s">
        <v>743</v>
      </c>
      <c r="I5" s="375" t="s">
        <v>742</v>
      </c>
      <c r="J5" s="375" t="s">
        <v>743</v>
      </c>
      <c r="K5" s="375" t="s">
        <v>742</v>
      </c>
      <c r="L5" s="375" t="s">
        <v>741</v>
      </c>
      <c r="M5" s="989"/>
      <c r="N5" s="989"/>
      <c r="O5" s="989"/>
      <c r="P5" s="989"/>
      <c r="Q5" s="989"/>
    </row>
    <row r="6" spans="1:17" ht="24" customHeight="1" x14ac:dyDescent="0.2">
      <c r="A6" s="346" t="s">
        <v>740</v>
      </c>
      <c r="B6" s="349" t="s">
        <v>197</v>
      </c>
      <c r="C6" s="349" t="s">
        <v>739</v>
      </c>
      <c r="D6" s="349" t="s">
        <v>686</v>
      </c>
      <c r="E6" s="348" t="s">
        <v>189</v>
      </c>
      <c r="F6" s="347">
        <v>6713.6850096999997</v>
      </c>
      <c r="G6" s="346" t="s">
        <v>689</v>
      </c>
      <c r="H6" s="346" t="s">
        <v>805</v>
      </c>
      <c r="I6" s="346" t="s">
        <v>689</v>
      </c>
      <c r="J6" s="346" t="s">
        <v>815</v>
      </c>
      <c r="K6" s="346" t="s">
        <v>689</v>
      </c>
      <c r="L6" s="347">
        <v>66801.165846514996</v>
      </c>
      <c r="M6" s="346" t="s">
        <v>816</v>
      </c>
      <c r="N6" s="347">
        <v>66801.165846499993</v>
      </c>
      <c r="O6" s="346" t="s">
        <v>816</v>
      </c>
    </row>
    <row r="7" spans="1:17" ht="24" customHeight="1" x14ac:dyDescent="0.2">
      <c r="A7" s="346" t="s">
        <v>738</v>
      </c>
      <c r="B7" s="349" t="s">
        <v>197</v>
      </c>
      <c r="C7" s="349" t="s">
        <v>656</v>
      </c>
      <c r="D7" s="349" t="s">
        <v>686</v>
      </c>
      <c r="E7" s="348" t="s">
        <v>189</v>
      </c>
      <c r="F7" s="347">
        <v>3890.8596392999998</v>
      </c>
      <c r="G7" s="346" t="s">
        <v>689</v>
      </c>
      <c r="H7" s="346" t="s">
        <v>783</v>
      </c>
      <c r="I7" s="346" t="s">
        <v>689</v>
      </c>
      <c r="J7" s="346" t="s">
        <v>817</v>
      </c>
      <c r="K7" s="346" t="s">
        <v>689</v>
      </c>
      <c r="L7" s="347">
        <v>54900.029510522996</v>
      </c>
      <c r="M7" s="346" t="s">
        <v>818</v>
      </c>
      <c r="N7" s="347">
        <v>121701.195357</v>
      </c>
      <c r="O7" s="346" t="s">
        <v>819</v>
      </c>
    </row>
    <row r="8" spans="1:17" ht="24" customHeight="1" x14ac:dyDescent="0.2">
      <c r="A8" s="346" t="s">
        <v>737</v>
      </c>
      <c r="B8" s="349" t="s">
        <v>197</v>
      </c>
      <c r="C8" s="349" t="s">
        <v>667</v>
      </c>
      <c r="D8" s="349" t="s">
        <v>686</v>
      </c>
      <c r="E8" s="348" t="s">
        <v>189</v>
      </c>
      <c r="F8" s="347">
        <v>3547.5678876000002</v>
      </c>
      <c r="G8" s="346" t="s">
        <v>689</v>
      </c>
      <c r="H8" s="346" t="s">
        <v>783</v>
      </c>
      <c r="I8" s="346" t="s">
        <v>689</v>
      </c>
      <c r="J8" s="346" t="s">
        <v>820</v>
      </c>
      <c r="K8" s="346" t="s">
        <v>689</v>
      </c>
      <c r="L8" s="347">
        <v>50056.182894035999</v>
      </c>
      <c r="M8" s="346" t="s">
        <v>821</v>
      </c>
      <c r="N8" s="347">
        <v>171757.37825099999</v>
      </c>
      <c r="O8" s="346" t="s">
        <v>822</v>
      </c>
    </row>
    <row r="9" spans="1:17" ht="24" customHeight="1" x14ac:dyDescent="0.2">
      <c r="A9" s="346" t="s">
        <v>736</v>
      </c>
      <c r="B9" s="349" t="s">
        <v>197</v>
      </c>
      <c r="C9" s="349" t="s">
        <v>735</v>
      </c>
      <c r="D9" s="349" t="s">
        <v>686</v>
      </c>
      <c r="E9" s="348" t="s">
        <v>189</v>
      </c>
      <c r="F9" s="347">
        <v>2562.141842</v>
      </c>
      <c r="G9" s="346" t="s">
        <v>689</v>
      </c>
      <c r="H9" s="346" t="s">
        <v>782</v>
      </c>
      <c r="I9" s="346" t="s">
        <v>689</v>
      </c>
      <c r="J9" s="346" t="s">
        <v>823</v>
      </c>
      <c r="K9" s="346" t="s">
        <v>689</v>
      </c>
      <c r="L9" s="347">
        <v>41557.940677240003</v>
      </c>
      <c r="M9" s="346" t="s">
        <v>810</v>
      </c>
      <c r="N9" s="347">
        <v>213315.31892819999</v>
      </c>
      <c r="O9" s="346" t="s">
        <v>824</v>
      </c>
    </row>
    <row r="10" spans="1:17" ht="24" customHeight="1" x14ac:dyDescent="0.2">
      <c r="A10" s="346" t="s">
        <v>730</v>
      </c>
      <c r="B10" s="349" t="s">
        <v>197</v>
      </c>
      <c r="C10" s="349" t="s">
        <v>729</v>
      </c>
      <c r="D10" s="349" t="s">
        <v>686</v>
      </c>
      <c r="E10" s="348" t="s">
        <v>189</v>
      </c>
      <c r="F10" s="347">
        <v>2177.5186577999998</v>
      </c>
      <c r="G10" s="346" t="s">
        <v>689</v>
      </c>
      <c r="H10" s="346" t="s">
        <v>797</v>
      </c>
      <c r="I10" s="346" t="s">
        <v>689</v>
      </c>
      <c r="J10" s="346" t="s">
        <v>825</v>
      </c>
      <c r="K10" s="346" t="s">
        <v>689</v>
      </c>
      <c r="L10" s="347">
        <v>22863.9459069</v>
      </c>
      <c r="M10" s="346" t="s">
        <v>826</v>
      </c>
      <c r="N10" s="347">
        <v>236179.26483510001</v>
      </c>
      <c r="O10" s="346" t="s">
        <v>827</v>
      </c>
    </row>
    <row r="11" spans="1:17" ht="24" customHeight="1" x14ac:dyDescent="0.2">
      <c r="A11" s="346" t="s">
        <v>731</v>
      </c>
      <c r="B11" s="349" t="s">
        <v>197</v>
      </c>
      <c r="C11" s="349" t="s">
        <v>658</v>
      </c>
      <c r="D11" s="349" t="s">
        <v>686</v>
      </c>
      <c r="E11" s="348" t="s">
        <v>189</v>
      </c>
      <c r="F11" s="347">
        <v>1339.4072589</v>
      </c>
      <c r="G11" s="346" t="s">
        <v>689</v>
      </c>
      <c r="H11" s="346" t="s">
        <v>783</v>
      </c>
      <c r="I11" s="346" t="s">
        <v>689</v>
      </c>
      <c r="J11" s="346" t="s">
        <v>828</v>
      </c>
      <c r="K11" s="346" t="s">
        <v>689</v>
      </c>
      <c r="L11" s="347">
        <v>18899.036423079</v>
      </c>
      <c r="M11" s="346" t="s">
        <v>829</v>
      </c>
      <c r="N11" s="347">
        <v>255078.30125819999</v>
      </c>
      <c r="O11" s="346" t="s">
        <v>830</v>
      </c>
    </row>
    <row r="12" spans="1:17" ht="24" customHeight="1" x14ac:dyDescent="0.2">
      <c r="A12" s="346" t="s">
        <v>714</v>
      </c>
      <c r="B12" s="349" t="s">
        <v>197</v>
      </c>
      <c r="C12" s="349" t="s">
        <v>713</v>
      </c>
      <c r="D12" s="349" t="s">
        <v>686</v>
      </c>
      <c r="E12" s="348" t="s">
        <v>189</v>
      </c>
      <c r="F12" s="347">
        <v>1227.8213355</v>
      </c>
      <c r="G12" s="346" t="s">
        <v>689</v>
      </c>
      <c r="H12" s="346" t="s">
        <v>783</v>
      </c>
      <c r="I12" s="346" t="s">
        <v>689</v>
      </c>
      <c r="J12" s="346" t="s">
        <v>804</v>
      </c>
      <c r="K12" s="346" t="s">
        <v>689</v>
      </c>
      <c r="L12" s="347">
        <v>17324.559043904999</v>
      </c>
      <c r="M12" s="346" t="s">
        <v>831</v>
      </c>
      <c r="N12" s="347">
        <v>272402.86030210002</v>
      </c>
      <c r="O12" s="346" t="s">
        <v>832</v>
      </c>
    </row>
    <row r="13" spans="1:17" ht="24" customHeight="1" x14ac:dyDescent="0.2">
      <c r="A13" s="346" t="s">
        <v>720</v>
      </c>
      <c r="B13" s="349" t="s">
        <v>197</v>
      </c>
      <c r="C13" s="349" t="s">
        <v>719</v>
      </c>
      <c r="D13" s="349" t="s">
        <v>686</v>
      </c>
      <c r="E13" s="348" t="s">
        <v>189</v>
      </c>
      <c r="F13" s="347">
        <v>1368.4999052999999</v>
      </c>
      <c r="G13" s="346" t="s">
        <v>689</v>
      </c>
      <c r="H13" s="346" t="s">
        <v>797</v>
      </c>
      <c r="I13" s="346" t="s">
        <v>689</v>
      </c>
      <c r="J13" s="346" t="s">
        <v>833</v>
      </c>
      <c r="K13" s="346" t="s">
        <v>689</v>
      </c>
      <c r="L13" s="347">
        <v>14369.249005649999</v>
      </c>
      <c r="M13" s="346" t="s">
        <v>834</v>
      </c>
      <c r="N13" s="347">
        <v>286772.10930780001</v>
      </c>
      <c r="O13" s="346" t="s">
        <v>835</v>
      </c>
    </row>
    <row r="14" spans="1:17" ht="24" customHeight="1" x14ac:dyDescent="0.2">
      <c r="A14" s="346" t="s">
        <v>721</v>
      </c>
      <c r="B14" s="349" t="s">
        <v>197</v>
      </c>
      <c r="C14" s="349" t="s">
        <v>657</v>
      </c>
      <c r="D14" s="349" t="s">
        <v>686</v>
      </c>
      <c r="E14" s="348" t="s">
        <v>189</v>
      </c>
      <c r="F14" s="347">
        <v>855.82370860000003</v>
      </c>
      <c r="G14" s="346" t="s">
        <v>689</v>
      </c>
      <c r="H14" s="346" t="s">
        <v>783</v>
      </c>
      <c r="I14" s="346" t="s">
        <v>689</v>
      </c>
      <c r="J14" s="346" t="s">
        <v>803</v>
      </c>
      <c r="K14" s="346" t="s">
        <v>689</v>
      </c>
      <c r="L14" s="347">
        <v>12075.672528346</v>
      </c>
      <c r="M14" s="346" t="s">
        <v>836</v>
      </c>
      <c r="N14" s="347">
        <v>298847.78183609998</v>
      </c>
      <c r="O14" s="346" t="s">
        <v>837</v>
      </c>
    </row>
    <row r="15" spans="1:17" ht="24" customHeight="1" x14ac:dyDescent="0.2">
      <c r="A15" s="346" t="s">
        <v>725</v>
      </c>
      <c r="B15" s="349" t="s">
        <v>197</v>
      </c>
      <c r="C15" s="349" t="s">
        <v>662</v>
      </c>
      <c r="D15" s="349" t="s">
        <v>686</v>
      </c>
      <c r="E15" s="348" t="s">
        <v>189</v>
      </c>
      <c r="F15" s="347">
        <v>787.10173999999995</v>
      </c>
      <c r="G15" s="346" t="s">
        <v>689</v>
      </c>
      <c r="H15" s="346" t="s">
        <v>783</v>
      </c>
      <c r="I15" s="346" t="s">
        <v>689</v>
      </c>
      <c r="J15" s="346" t="s">
        <v>802</v>
      </c>
      <c r="K15" s="346" t="s">
        <v>689</v>
      </c>
      <c r="L15" s="347">
        <v>11106.0055514</v>
      </c>
      <c r="M15" s="346" t="s">
        <v>808</v>
      </c>
      <c r="N15" s="347">
        <v>309953.78738749999</v>
      </c>
      <c r="O15" s="346" t="s">
        <v>838</v>
      </c>
    </row>
    <row r="16" spans="1:17" ht="24" customHeight="1" x14ac:dyDescent="0.2">
      <c r="A16" s="346" t="s">
        <v>707</v>
      </c>
      <c r="B16" s="349" t="s">
        <v>197</v>
      </c>
      <c r="C16" s="349" t="s">
        <v>676</v>
      </c>
      <c r="D16" s="349" t="s">
        <v>686</v>
      </c>
      <c r="E16" s="348" t="s">
        <v>189</v>
      </c>
      <c r="F16" s="347">
        <v>737.29262719999997</v>
      </c>
      <c r="G16" s="346" t="s">
        <v>689</v>
      </c>
      <c r="H16" s="346" t="s">
        <v>783</v>
      </c>
      <c r="I16" s="346" t="s">
        <v>689</v>
      </c>
      <c r="J16" s="346" t="s">
        <v>801</v>
      </c>
      <c r="K16" s="346" t="s">
        <v>689</v>
      </c>
      <c r="L16" s="347">
        <v>10403.198969792</v>
      </c>
      <c r="M16" s="346" t="s">
        <v>839</v>
      </c>
      <c r="N16" s="347">
        <v>320356.98635730002</v>
      </c>
      <c r="O16" s="346" t="s">
        <v>840</v>
      </c>
    </row>
    <row r="17" spans="1:15" ht="24" customHeight="1" x14ac:dyDescent="0.2">
      <c r="A17" s="346" t="s">
        <v>734</v>
      </c>
      <c r="B17" s="349" t="s">
        <v>197</v>
      </c>
      <c r="C17" s="349" t="s">
        <v>659</v>
      </c>
      <c r="D17" s="349" t="s">
        <v>686</v>
      </c>
      <c r="E17" s="348" t="s">
        <v>189</v>
      </c>
      <c r="F17" s="347">
        <v>934.05898839999998</v>
      </c>
      <c r="G17" s="346" t="s">
        <v>689</v>
      </c>
      <c r="H17" s="346" t="s">
        <v>797</v>
      </c>
      <c r="I17" s="346" t="s">
        <v>689</v>
      </c>
      <c r="J17" s="346" t="s">
        <v>800</v>
      </c>
      <c r="K17" s="346" t="s">
        <v>689</v>
      </c>
      <c r="L17" s="347">
        <v>9807.6193782000009</v>
      </c>
      <c r="M17" s="346" t="s">
        <v>841</v>
      </c>
      <c r="N17" s="347">
        <v>330164.60573549999</v>
      </c>
      <c r="O17" s="346" t="s">
        <v>842</v>
      </c>
    </row>
    <row r="18" spans="1:15" ht="24" customHeight="1" x14ac:dyDescent="0.2">
      <c r="A18" s="346" t="s">
        <v>728</v>
      </c>
      <c r="B18" s="349" t="s">
        <v>197</v>
      </c>
      <c r="C18" s="349" t="s">
        <v>660</v>
      </c>
      <c r="D18" s="349" t="s">
        <v>686</v>
      </c>
      <c r="E18" s="348" t="s">
        <v>189</v>
      </c>
      <c r="F18" s="347">
        <v>691.03224499999999</v>
      </c>
      <c r="G18" s="346" t="s">
        <v>689</v>
      </c>
      <c r="H18" s="346" t="s">
        <v>783</v>
      </c>
      <c r="I18" s="346" t="s">
        <v>689</v>
      </c>
      <c r="J18" s="346" t="s">
        <v>843</v>
      </c>
      <c r="K18" s="346" t="s">
        <v>689</v>
      </c>
      <c r="L18" s="347">
        <v>9750.4649769499993</v>
      </c>
      <c r="M18" s="346" t="s">
        <v>841</v>
      </c>
      <c r="N18" s="347">
        <v>339915.07071250002</v>
      </c>
      <c r="O18" s="346" t="s">
        <v>844</v>
      </c>
    </row>
    <row r="19" spans="1:15" ht="24" customHeight="1" x14ac:dyDescent="0.2">
      <c r="A19" s="346" t="s">
        <v>700</v>
      </c>
      <c r="B19" s="349" t="s">
        <v>197</v>
      </c>
      <c r="C19" s="349" t="s">
        <v>699</v>
      </c>
      <c r="D19" s="349" t="s">
        <v>686</v>
      </c>
      <c r="E19" s="348" t="s">
        <v>189</v>
      </c>
      <c r="F19" s="347">
        <v>714.51134000000002</v>
      </c>
      <c r="G19" s="346" t="s">
        <v>689</v>
      </c>
      <c r="H19" s="346" t="s">
        <v>797</v>
      </c>
      <c r="I19" s="346" t="s">
        <v>689</v>
      </c>
      <c r="J19" s="346" t="s">
        <v>799</v>
      </c>
      <c r="K19" s="346" t="s">
        <v>689</v>
      </c>
      <c r="L19" s="347">
        <v>7502.3690699999997</v>
      </c>
      <c r="M19" s="346" t="s">
        <v>845</v>
      </c>
      <c r="N19" s="347">
        <v>347417.43978249998</v>
      </c>
      <c r="O19" s="346" t="s">
        <v>846</v>
      </c>
    </row>
    <row r="20" spans="1:15" ht="24" customHeight="1" x14ac:dyDescent="0.2">
      <c r="A20" s="346" t="s">
        <v>712</v>
      </c>
      <c r="B20" s="349" t="s">
        <v>197</v>
      </c>
      <c r="C20" s="349" t="s">
        <v>711</v>
      </c>
      <c r="D20" s="349" t="s">
        <v>686</v>
      </c>
      <c r="E20" s="348" t="s">
        <v>189</v>
      </c>
      <c r="F20" s="347">
        <v>640.66710499999999</v>
      </c>
      <c r="G20" s="346" t="s">
        <v>689</v>
      </c>
      <c r="H20" s="346" t="s">
        <v>797</v>
      </c>
      <c r="I20" s="346" t="s">
        <v>689</v>
      </c>
      <c r="J20" s="346" t="s">
        <v>798</v>
      </c>
      <c r="K20" s="346" t="s">
        <v>689</v>
      </c>
      <c r="L20" s="347">
        <v>6727.0046025000001</v>
      </c>
      <c r="M20" s="346" t="s">
        <v>847</v>
      </c>
      <c r="N20" s="347">
        <v>354144.44438499998</v>
      </c>
      <c r="O20" s="346" t="s">
        <v>848</v>
      </c>
    </row>
    <row r="21" spans="1:15" ht="24" customHeight="1" x14ac:dyDescent="0.2">
      <c r="A21" s="346" t="s">
        <v>727</v>
      </c>
      <c r="B21" s="349" t="s">
        <v>197</v>
      </c>
      <c r="C21" s="349" t="s">
        <v>726</v>
      </c>
      <c r="D21" s="349" t="s">
        <v>686</v>
      </c>
      <c r="E21" s="348" t="s">
        <v>189</v>
      </c>
      <c r="F21" s="347">
        <v>580.61163369999997</v>
      </c>
      <c r="G21" s="346" t="s">
        <v>689</v>
      </c>
      <c r="H21" s="346" t="s">
        <v>797</v>
      </c>
      <c r="I21" s="346" t="s">
        <v>689</v>
      </c>
      <c r="J21" s="346" t="s">
        <v>849</v>
      </c>
      <c r="K21" s="346" t="s">
        <v>689</v>
      </c>
      <c r="L21" s="347">
        <v>6096.4221538499996</v>
      </c>
      <c r="M21" s="346" t="s">
        <v>850</v>
      </c>
      <c r="N21" s="347">
        <v>360240.86653890001</v>
      </c>
      <c r="O21" s="346" t="s">
        <v>851</v>
      </c>
    </row>
    <row r="22" spans="1:15" ht="24" customHeight="1" x14ac:dyDescent="0.2">
      <c r="A22" s="346" t="s">
        <v>771</v>
      </c>
      <c r="B22" s="349" t="s">
        <v>197</v>
      </c>
      <c r="C22" s="349" t="s">
        <v>770</v>
      </c>
      <c r="D22" s="349" t="s">
        <v>686</v>
      </c>
      <c r="E22" s="348" t="s">
        <v>189</v>
      </c>
      <c r="F22" s="347">
        <v>260.06862000000001</v>
      </c>
      <c r="G22" s="346" t="s">
        <v>689</v>
      </c>
      <c r="H22" s="346" t="s">
        <v>783</v>
      </c>
      <c r="I22" s="346" t="s">
        <v>689</v>
      </c>
      <c r="J22" s="346" t="s">
        <v>811</v>
      </c>
      <c r="K22" s="346" t="s">
        <v>689</v>
      </c>
      <c r="L22" s="347">
        <v>3669.5682281999998</v>
      </c>
      <c r="M22" s="346" t="s">
        <v>812</v>
      </c>
      <c r="N22" s="347">
        <v>363910.43476710003</v>
      </c>
      <c r="O22" s="346" t="s">
        <v>852</v>
      </c>
    </row>
    <row r="23" spans="1:15" ht="24" customHeight="1" x14ac:dyDescent="0.2">
      <c r="A23" s="346" t="s">
        <v>724</v>
      </c>
      <c r="B23" s="349" t="s">
        <v>197</v>
      </c>
      <c r="C23" s="349" t="s">
        <v>663</v>
      </c>
      <c r="D23" s="349" t="s">
        <v>686</v>
      </c>
      <c r="E23" s="348" t="s">
        <v>189</v>
      </c>
      <c r="F23" s="347">
        <v>177.8345339</v>
      </c>
      <c r="G23" s="346" t="s">
        <v>689</v>
      </c>
      <c r="H23" s="346" t="s">
        <v>797</v>
      </c>
      <c r="I23" s="346" t="s">
        <v>689</v>
      </c>
      <c r="J23" s="346" t="s">
        <v>853</v>
      </c>
      <c r="K23" s="346" t="s">
        <v>689</v>
      </c>
      <c r="L23" s="347">
        <v>1867.2626059500001</v>
      </c>
      <c r="M23" s="346" t="s">
        <v>854</v>
      </c>
      <c r="N23" s="347">
        <v>365777.69737309997</v>
      </c>
      <c r="O23" s="346" t="s">
        <v>855</v>
      </c>
    </row>
    <row r="24" spans="1:15" ht="24" customHeight="1" x14ac:dyDescent="0.2">
      <c r="A24" s="346" t="s">
        <v>706</v>
      </c>
      <c r="B24" s="349" t="s">
        <v>197</v>
      </c>
      <c r="C24" s="349" t="s">
        <v>661</v>
      </c>
      <c r="D24" s="349" t="s">
        <v>686</v>
      </c>
      <c r="E24" s="348" t="s">
        <v>189</v>
      </c>
      <c r="F24" s="347">
        <v>148.86297010000001</v>
      </c>
      <c r="G24" s="346" t="s">
        <v>689</v>
      </c>
      <c r="H24" s="346" t="s">
        <v>797</v>
      </c>
      <c r="I24" s="346" t="s">
        <v>689</v>
      </c>
      <c r="J24" s="346" t="s">
        <v>796</v>
      </c>
      <c r="K24" s="346" t="s">
        <v>689</v>
      </c>
      <c r="L24" s="347">
        <v>1563.0611860500001</v>
      </c>
      <c r="M24" s="346" t="s">
        <v>794</v>
      </c>
      <c r="N24" s="347">
        <v>367340.75855919998</v>
      </c>
      <c r="O24" s="346" t="s">
        <v>856</v>
      </c>
    </row>
    <row r="25" spans="1:15" ht="24" customHeight="1" x14ac:dyDescent="0.2">
      <c r="A25" s="346" t="s">
        <v>716</v>
      </c>
      <c r="B25" s="349" t="s">
        <v>197</v>
      </c>
      <c r="C25" s="349" t="s">
        <v>715</v>
      </c>
      <c r="D25" s="349" t="s">
        <v>686</v>
      </c>
      <c r="E25" s="348" t="s">
        <v>189</v>
      </c>
      <c r="F25" s="347">
        <v>110.29075330000001</v>
      </c>
      <c r="G25" s="346" t="s">
        <v>689</v>
      </c>
      <c r="H25" s="346" t="s">
        <v>795</v>
      </c>
      <c r="I25" s="346" t="s">
        <v>689</v>
      </c>
      <c r="J25" s="346" t="s">
        <v>857</v>
      </c>
      <c r="K25" s="346" t="s">
        <v>689</v>
      </c>
      <c r="L25" s="347">
        <v>1484.5135394179999</v>
      </c>
      <c r="M25" s="346" t="s">
        <v>794</v>
      </c>
      <c r="N25" s="347">
        <v>368825.27209859999</v>
      </c>
      <c r="O25" s="346" t="s">
        <v>858</v>
      </c>
    </row>
    <row r="26" spans="1:15" ht="24" customHeight="1" x14ac:dyDescent="0.2">
      <c r="A26" s="346" t="s">
        <v>723</v>
      </c>
      <c r="B26" s="349" t="s">
        <v>197</v>
      </c>
      <c r="C26" s="349" t="s">
        <v>722</v>
      </c>
      <c r="D26" s="349" t="s">
        <v>686</v>
      </c>
      <c r="E26" s="348" t="s">
        <v>189</v>
      </c>
      <c r="F26" s="347">
        <v>70.711281200000002</v>
      </c>
      <c r="G26" s="346" t="s">
        <v>689</v>
      </c>
      <c r="H26" s="346" t="s">
        <v>793</v>
      </c>
      <c r="I26" s="346" t="s">
        <v>689</v>
      </c>
      <c r="J26" s="346" t="s">
        <v>859</v>
      </c>
      <c r="K26" s="346" t="s">
        <v>689</v>
      </c>
      <c r="L26" s="347">
        <v>1008.342869912</v>
      </c>
      <c r="M26" s="346" t="s">
        <v>789</v>
      </c>
      <c r="N26" s="347">
        <v>369833.61496849998</v>
      </c>
      <c r="O26" s="346" t="s">
        <v>860</v>
      </c>
    </row>
    <row r="27" spans="1:15" ht="24" customHeight="1" x14ac:dyDescent="0.2">
      <c r="A27" s="346" t="s">
        <v>710</v>
      </c>
      <c r="B27" s="349" t="s">
        <v>197</v>
      </c>
      <c r="C27" s="349" t="s">
        <v>670</v>
      </c>
      <c r="D27" s="349" t="s">
        <v>686</v>
      </c>
      <c r="E27" s="348" t="s">
        <v>189</v>
      </c>
      <c r="F27" s="347">
        <v>82.680956399999999</v>
      </c>
      <c r="G27" s="346" t="s">
        <v>689</v>
      </c>
      <c r="H27" s="346" t="s">
        <v>786</v>
      </c>
      <c r="I27" s="346" t="s">
        <v>689</v>
      </c>
      <c r="J27" s="346" t="s">
        <v>809</v>
      </c>
      <c r="K27" s="346" t="s">
        <v>689</v>
      </c>
      <c r="L27" s="347">
        <v>998.78595331200006</v>
      </c>
      <c r="M27" s="346" t="s">
        <v>789</v>
      </c>
      <c r="N27" s="347">
        <v>370832.4009218</v>
      </c>
      <c r="O27" s="346" t="s">
        <v>861</v>
      </c>
    </row>
    <row r="28" spans="1:15" ht="24" customHeight="1" x14ac:dyDescent="0.2">
      <c r="A28" s="346" t="s">
        <v>692</v>
      </c>
      <c r="B28" s="349" t="s">
        <v>197</v>
      </c>
      <c r="C28" s="349" t="s">
        <v>678</v>
      </c>
      <c r="D28" s="349" t="s">
        <v>686</v>
      </c>
      <c r="E28" s="348" t="s">
        <v>189</v>
      </c>
      <c r="F28" s="347">
        <v>55.873054799999998</v>
      </c>
      <c r="G28" s="346" t="s">
        <v>689</v>
      </c>
      <c r="H28" s="346" t="s">
        <v>792</v>
      </c>
      <c r="I28" s="346" t="s">
        <v>689</v>
      </c>
      <c r="J28" s="346" t="s">
        <v>791</v>
      </c>
      <c r="K28" s="346" t="s">
        <v>689</v>
      </c>
      <c r="L28" s="347">
        <v>824.686288848</v>
      </c>
      <c r="M28" s="346" t="s">
        <v>703</v>
      </c>
      <c r="N28" s="347">
        <v>371657.08721059997</v>
      </c>
      <c r="O28" s="346" t="s">
        <v>862</v>
      </c>
    </row>
    <row r="29" spans="1:15" ht="24" customHeight="1" x14ac:dyDescent="0.2">
      <c r="A29" s="346" t="s">
        <v>702</v>
      </c>
      <c r="B29" s="349" t="s">
        <v>197</v>
      </c>
      <c r="C29" s="349" t="s">
        <v>701</v>
      </c>
      <c r="D29" s="349" t="s">
        <v>686</v>
      </c>
      <c r="E29" s="348" t="s">
        <v>189</v>
      </c>
      <c r="F29" s="347">
        <v>56.855545800000002</v>
      </c>
      <c r="G29" s="346" t="s">
        <v>689</v>
      </c>
      <c r="H29" s="346" t="s">
        <v>783</v>
      </c>
      <c r="I29" s="346" t="s">
        <v>689</v>
      </c>
      <c r="J29" s="346" t="s">
        <v>790</v>
      </c>
      <c r="K29" s="346" t="s">
        <v>689</v>
      </c>
      <c r="L29" s="347">
        <v>802.23175123800002</v>
      </c>
      <c r="M29" s="346" t="s">
        <v>703</v>
      </c>
      <c r="N29" s="347">
        <v>372459.31896180002</v>
      </c>
      <c r="O29" s="346" t="s">
        <v>863</v>
      </c>
    </row>
    <row r="30" spans="1:15" ht="24" customHeight="1" x14ac:dyDescent="0.2">
      <c r="A30" s="346" t="s">
        <v>718</v>
      </c>
      <c r="B30" s="349" t="s">
        <v>197</v>
      </c>
      <c r="C30" s="349" t="s">
        <v>666</v>
      </c>
      <c r="D30" s="349" t="s">
        <v>686</v>
      </c>
      <c r="E30" s="348" t="s">
        <v>189</v>
      </c>
      <c r="F30" s="347">
        <v>49.4495559</v>
      </c>
      <c r="G30" s="346" t="s">
        <v>689</v>
      </c>
      <c r="H30" s="346" t="s">
        <v>788</v>
      </c>
      <c r="I30" s="346" t="s">
        <v>689</v>
      </c>
      <c r="J30" s="346" t="s">
        <v>864</v>
      </c>
      <c r="K30" s="346" t="s">
        <v>689</v>
      </c>
      <c r="L30" s="347">
        <v>747.18278964900003</v>
      </c>
      <c r="M30" s="346" t="s">
        <v>703</v>
      </c>
      <c r="N30" s="347">
        <v>373206.50175140001</v>
      </c>
      <c r="O30" s="346" t="s">
        <v>865</v>
      </c>
    </row>
    <row r="31" spans="1:15" ht="24" customHeight="1" x14ac:dyDescent="0.2">
      <c r="A31" s="346" t="s">
        <v>717</v>
      </c>
      <c r="B31" s="349" t="s">
        <v>197</v>
      </c>
      <c r="C31" s="349" t="s">
        <v>677</v>
      </c>
      <c r="D31" s="349" t="s">
        <v>686</v>
      </c>
      <c r="E31" s="348" t="s">
        <v>189</v>
      </c>
      <c r="F31" s="347">
        <v>30.835407499999999</v>
      </c>
      <c r="G31" s="346" t="s">
        <v>689</v>
      </c>
      <c r="H31" s="346" t="s">
        <v>783</v>
      </c>
      <c r="I31" s="346" t="s">
        <v>689</v>
      </c>
      <c r="J31" s="346" t="s">
        <v>787</v>
      </c>
      <c r="K31" s="346" t="s">
        <v>689</v>
      </c>
      <c r="L31" s="347">
        <v>435.08759982499998</v>
      </c>
      <c r="M31" s="346" t="s">
        <v>698</v>
      </c>
      <c r="N31" s="347">
        <v>373641.58935119997</v>
      </c>
      <c r="O31" s="346" t="s">
        <v>866</v>
      </c>
    </row>
    <row r="32" spans="1:15" ht="24" customHeight="1" x14ac:dyDescent="0.2">
      <c r="A32" s="346" t="s">
        <v>705</v>
      </c>
      <c r="B32" s="349" t="s">
        <v>197</v>
      </c>
      <c r="C32" s="349" t="s">
        <v>704</v>
      </c>
      <c r="D32" s="349" t="s">
        <v>686</v>
      </c>
      <c r="E32" s="348" t="s">
        <v>189</v>
      </c>
      <c r="F32" s="347">
        <v>20.21</v>
      </c>
      <c r="G32" s="346" t="s">
        <v>689</v>
      </c>
      <c r="H32" s="346" t="s">
        <v>783</v>
      </c>
      <c r="I32" s="346" t="s">
        <v>689</v>
      </c>
      <c r="J32" s="346" t="s">
        <v>785</v>
      </c>
      <c r="K32" s="346" t="s">
        <v>689</v>
      </c>
      <c r="L32" s="347">
        <v>285.16309999999999</v>
      </c>
      <c r="M32" s="346" t="s">
        <v>693</v>
      </c>
      <c r="N32" s="347">
        <v>373926.75245119998</v>
      </c>
      <c r="O32" s="346" t="s">
        <v>867</v>
      </c>
    </row>
    <row r="33" spans="1:15" ht="24" customHeight="1" x14ac:dyDescent="0.2">
      <c r="A33" s="346" t="s">
        <v>759</v>
      </c>
      <c r="B33" s="349" t="s">
        <v>197</v>
      </c>
      <c r="C33" s="349" t="s">
        <v>760</v>
      </c>
      <c r="D33" s="349" t="s">
        <v>686</v>
      </c>
      <c r="E33" s="348" t="s">
        <v>189</v>
      </c>
      <c r="F33" s="347">
        <v>12.468400000000001</v>
      </c>
      <c r="G33" s="346" t="s">
        <v>689</v>
      </c>
      <c r="H33" s="346" t="s">
        <v>783</v>
      </c>
      <c r="I33" s="346" t="s">
        <v>689</v>
      </c>
      <c r="J33" s="346" t="s">
        <v>813</v>
      </c>
      <c r="K33" s="346" t="s">
        <v>689</v>
      </c>
      <c r="L33" s="347">
        <v>175.929124</v>
      </c>
      <c r="M33" s="346" t="s">
        <v>693</v>
      </c>
      <c r="N33" s="347">
        <v>374102.6815752</v>
      </c>
      <c r="O33" s="346" t="s">
        <v>867</v>
      </c>
    </row>
    <row r="34" spans="1:15" ht="24" customHeight="1" x14ac:dyDescent="0.2">
      <c r="A34" s="346" t="s">
        <v>709</v>
      </c>
      <c r="B34" s="349" t="s">
        <v>197</v>
      </c>
      <c r="C34" s="349" t="s">
        <v>708</v>
      </c>
      <c r="D34" s="349" t="s">
        <v>686</v>
      </c>
      <c r="E34" s="348" t="s">
        <v>189</v>
      </c>
      <c r="F34" s="347">
        <v>6.7105791999999997</v>
      </c>
      <c r="G34" s="346" t="s">
        <v>689</v>
      </c>
      <c r="H34" s="346" t="s">
        <v>783</v>
      </c>
      <c r="I34" s="346" t="s">
        <v>689</v>
      </c>
      <c r="J34" s="346" t="s">
        <v>868</v>
      </c>
      <c r="K34" s="346" t="s">
        <v>689</v>
      </c>
      <c r="L34" s="347">
        <v>94.686272512000002</v>
      </c>
      <c r="M34" s="346" t="s">
        <v>688</v>
      </c>
      <c r="N34" s="347">
        <v>374197.36784770002</v>
      </c>
      <c r="O34" s="346" t="s">
        <v>869</v>
      </c>
    </row>
    <row r="35" spans="1:15" ht="24" customHeight="1" x14ac:dyDescent="0.2">
      <c r="A35" s="346" t="s">
        <v>733</v>
      </c>
      <c r="B35" s="349" t="s">
        <v>197</v>
      </c>
      <c r="C35" s="349" t="s">
        <v>732</v>
      </c>
      <c r="D35" s="349" t="s">
        <v>686</v>
      </c>
      <c r="E35" s="348" t="s">
        <v>189</v>
      </c>
      <c r="F35" s="347">
        <v>4.8503999999999996</v>
      </c>
      <c r="G35" s="346" t="s">
        <v>689</v>
      </c>
      <c r="H35" s="346" t="s">
        <v>783</v>
      </c>
      <c r="I35" s="346" t="s">
        <v>689</v>
      </c>
      <c r="J35" s="346" t="s">
        <v>784</v>
      </c>
      <c r="K35" s="346" t="s">
        <v>689</v>
      </c>
      <c r="L35" s="347">
        <v>68.439143999999999</v>
      </c>
      <c r="M35" s="346" t="s">
        <v>688</v>
      </c>
      <c r="N35" s="347">
        <v>374265.80699170002</v>
      </c>
      <c r="O35" s="346" t="s">
        <v>869</v>
      </c>
    </row>
    <row r="36" spans="1:15" ht="24" customHeight="1" x14ac:dyDescent="0.2">
      <c r="A36" s="346" t="s">
        <v>697</v>
      </c>
      <c r="B36" s="349" t="s">
        <v>197</v>
      </c>
      <c r="C36" s="349" t="s">
        <v>696</v>
      </c>
      <c r="D36" s="349" t="s">
        <v>686</v>
      </c>
      <c r="E36" s="348" t="s">
        <v>189</v>
      </c>
      <c r="F36" s="347">
        <v>1.2415582000000001</v>
      </c>
      <c r="G36" s="346" t="s">
        <v>689</v>
      </c>
      <c r="H36" s="346" t="s">
        <v>783</v>
      </c>
      <c r="I36" s="346" t="s">
        <v>689</v>
      </c>
      <c r="J36" s="346" t="s">
        <v>870</v>
      </c>
      <c r="K36" s="346" t="s">
        <v>689</v>
      </c>
      <c r="L36" s="347">
        <v>17.518386201999999</v>
      </c>
      <c r="M36" s="346" t="s">
        <v>688</v>
      </c>
      <c r="N36" s="347">
        <v>374283.32537789998</v>
      </c>
      <c r="O36" s="346" t="s">
        <v>869</v>
      </c>
    </row>
    <row r="37" spans="1:15" ht="24" customHeight="1" x14ac:dyDescent="0.2">
      <c r="A37" s="346" t="s">
        <v>695</v>
      </c>
      <c r="B37" s="349" t="s">
        <v>197</v>
      </c>
      <c r="C37" s="349" t="s">
        <v>694</v>
      </c>
      <c r="D37" s="349" t="s">
        <v>686</v>
      </c>
      <c r="E37" s="348" t="s">
        <v>189</v>
      </c>
      <c r="F37" s="347">
        <v>1.022</v>
      </c>
      <c r="G37" s="346" t="s">
        <v>689</v>
      </c>
      <c r="H37" s="346" t="s">
        <v>871</v>
      </c>
      <c r="I37" s="346" t="s">
        <v>689</v>
      </c>
      <c r="J37" s="346" t="s">
        <v>872</v>
      </c>
      <c r="K37" s="346" t="s">
        <v>689</v>
      </c>
      <c r="L37" s="347">
        <v>13.388199999999999</v>
      </c>
      <c r="M37" s="346" t="s">
        <v>688</v>
      </c>
      <c r="N37" s="347">
        <v>374296.71357790002</v>
      </c>
      <c r="O37" s="346" t="s">
        <v>869</v>
      </c>
    </row>
    <row r="38" spans="1:15" ht="24" customHeight="1" x14ac:dyDescent="0.2">
      <c r="A38" s="346" t="s">
        <v>765</v>
      </c>
      <c r="B38" s="349" t="s">
        <v>197</v>
      </c>
      <c r="C38" s="349" t="s">
        <v>764</v>
      </c>
      <c r="D38" s="349" t="s">
        <v>686</v>
      </c>
      <c r="E38" s="348" t="s">
        <v>189</v>
      </c>
      <c r="F38" s="347">
        <v>0.51329999999999998</v>
      </c>
      <c r="G38" s="346" t="s">
        <v>689</v>
      </c>
      <c r="H38" s="346" t="s">
        <v>782</v>
      </c>
      <c r="I38" s="346" t="s">
        <v>689</v>
      </c>
      <c r="J38" s="346" t="s">
        <v>781</v>
      </c>
      <c r="K38" s="346" t="s">
        <v>689</v>
      </c>
      <c r="L38" s="347">
        <v>8.3257259999999995</v>
      </c>
      <c r="M38" s="346" t="s">
        <v>688</v>
      </c>
      <c r="N38" s="347">
        <v>374305.03930389998</v>
      </c>
      <c r="O38" s="346" t="s">
        <v>869</v>
      </c>
    </row>
    <row r="39" spans="1:15" ht="24" customHeight="1" x14ac:dyDescent="0.2">
      <c r="A39" s="346" t="s">
        <v>690</v>
      </c>
      <c r="B39" s="349" t="s">
        <v>197</v>
      </c>
      <c r="C39" s="349" t="s">
        <v>664</v>
      </c>
      <c r="D39" s="349" t="s">
        <v>686</v>
      </c>
      <c r="E39" s="348" t="s">
        <v>189</v>
      </c>
      <c r="F39" s="347">
        <v>0.4325272</v>
      </c>
      <c r="G39" s="346" t="s">
        <v>689</v>
      </c>
      <c r="H39" s="346" t="s">
        <v>780</v>
      </c>
      <c r="I39" s="346" t="s">
        <v>689</v>
      </c>
      <c r="J39" s="346" t="s">
        <v>873</v>
      </c>
      <c r="K39" s="346" t="s">
        <v>689</v>
      </c>
      <c r="L39" s="347">
        <v>6.4403300080000001</v>
      </c>
      <c r="M39" s="346" t="s">
        <v>688</v>
      </c>
      <c r="N39" s="347">
        <v>374311.47963389999</v>
      </c>
      <c r="O39" s="346" t="s">
        <v>869</v>
      </c>
    </row>
    <row r="40" spans="1:15" ht="24" customHeight="1" x14ac:dyDescent="0.2">
      <c r="A40" s="346" t="s">
        <v>691</v>
      </c>
      <c r="B40" s="349" t="s">
        <v>197</v>
      </c>
      <c r="C40" s="349" t="s">
        <v>665</v>
      </c>
      <c r="D40" s="349" t="s">
        <v>686</v>
      </c>
      <c r="E40" s="348" t="s">
        <v>189</v>
      </c>
      <c r="F40" s="347">
        <v>0.28884929999999998</v>
      </c>
      <c r="G40" s="346" t="s">
        <v>689</v>
      </c>
      <c r="H40" s="346" t="s">
        <v>779</v>
      </c>
      <c r="I40" s="346" t="s">
        <v>689</v>
      </c>
      <c r="J40" s="346" t="s">
        <v>778</v>
      </c>
      <c r="K40" s="346" t="s">
        <v>689</v>
      </c>
      <c r="L40" s="347">
        <v>5.3090501339999996</v>
      </c>
      <c r="M40" s="346" t="s">
        <v>688</v>
      </c>
      <c r="N40" s="347">
        <v>374316.78868400003</v>
      </c>
      <c r="O40" s="346" t="s">
        <v>869</v>
      </c>
    </row>
    <row r="41" spans="1:15" ht="24" customHeight="1" x14ac:dyDescent="0.2">
      <c r="A41" s="346" t="s">
        <v>769</v>
      </c>
      <c r="B41" s="349" t="s">
        <v>197</v>
      </c>
      <c r="C41" s="349" t="s">
        <v>768</v>
      </c>
      <c r="D41" s="349" t="s">
        <v>686</v>
      </c>
      <c r="E41" s="348" t="s">
        <v>189</v>
      </c>
      <c r="F41" s="347">
        <v>8.4495600000000004E-2</v>
      </c>
      <c r="G41" s="346" t="s">
        <v>689</v>
      </c>
      <c r="H41" s="346" t="s">
        <v>777</v>
      </c>
      <c r="I41" s="346" t="s">
        <v>689</v>
      </c>
      <c r="J41" s="346" t="s">
        <v>776</v>
      </c>
      <c r="K41" s="346" t="s">
        <v>689</v>
      </c>
      <c r="L41" s="347">
        <v>1.7676479519999999</v>
      </c>
      <c r="M41" s="346" t="s">
        <v>688</v>
      </c>
      <c r="N41" s="347">
        <v>374318.55633200001</v>
      </c>
      <c r="O41" s="346" t="s">
        <v>869</v>
      </c>
    </row>
    <row r="42" spans="1:15" ht="24" customHeight="1" x14ac:dyDescent="0.2">
      <c r="A42" s="346" t="s">
        <v>767</v>
      </c>
      <c r="B42" s="349" t="s">
        <v>197</v>
      </c>
      <c r="C42" s="349" t="s">
        <v>766</v>
      </c>
      <c r="D42" s="349" t="s">
        <v>686</v>
      </c>
      <c r="E42" s="348" t="s">
        <v>189</v>
      </c>
      <c r="F42" s="347">
        <v>0.1046136</v>
      </c>
      <c r="G42" s="346" t="s">
        <v>689</v>
      </c>
      <c r="H42" s="346" t="s">
        <v>775</v>
      </c>
      <c r="I42" s="346" t="s">
        <v>689</v>
      </c>
      <c r="J42" s="346" t="s">
        <v>774</v>
      </c>
      <c r="K42" s="346" t="s">
        <v>689</v>
      </c>
      <c r="L42" s="347">
        <v>1.2480402479999999</v>
      </c>
      <c r="M42" s="346" t="s">
        <v>688</v>
      </c>
      <c r="N42" s="347">
        <v>374319.80437219999</v>
      </c>
      <c r="O42" s="346" t="s">
        <v>869</v>
      </c>
    </row>
    <row r="43" spans="1:15" x14ac:dyDescent="0.2">
      <c r="A43" s="373"/>
      <c r="B43" s="373"/>
      <c r="C43" s="373"/>
      <c r="D43" s="373"/>
      <c r="E43" s="373"/>
      <c r="F43" s="376">
        <f>SUM(F6:F42)</f>
        <v>29859.990325999992</v>
      </c>
      <c r="G43" s="373"/>
      <c r="H43" s="373"/>
      <c r="I43" s="373"/>
      <c r="J43" s="373"/>
      <c r="K43" s="373"/>
      <c r="L43" s="373"/>
      <c r="M43" s="373"/>
      <c r="N43" s="373"/>
      <c r="O43" s="373"/>
    </row>
    <row r="44" spans="1:15" x14ac:dyDescent="0.2">
      <c r="A44" s="369"/>
      <c r="B44" s="369"/>
      <c r="C44" s="369"/>
      <c r="D44" s="369"/>
      <c r="E44" s="369"/>
      <c r="F44" s="369"/>
      <c r="G44" s="369"/>
      <c r="H44" s="369"/>
      <c r="I44" s="369"/>
      <c r="J44" s="369"/>
      <c r="K44" s="369"/>
      <c r="L44" s="981" t="s">
        <v>687</v>
      </c>
      <c r="M44" s="981"/>
      <c r="N44" s="981"/>
      <c r="O44" s="982"/>
    </row>
    <row r="45" spans="1:15" ht="25.5" x14ac:dyDescent="0.2">
      <c r="A45" s="369"/>
      <c r="B45" s="369"/>
      <c r="C45" s="369"/>
      <c r="D45" s="369"/>
      <c r="E45" s="369"/>
      <c r="F45" s="369"/>
      <c r="G45" s="369"/>
      <c r="H45" s="369"/>
      <c r="I45" s="369"/>
      <c r="J45" s="369"/>
      <c r="K45" s="369"/>
      <c r="L45" s="981" t="s">
        <v>686</v>
      </c>
      <c r="M45" s="981"/>
      <c r="N45" s="981"/>
      <c r="O45" s="369" t="s">
        <v>874</v>
      </c>
    </row>
    <row r="46" spans="1:15" x14ac:dyDescent="0.2">
      <c r="A46" s="373"/>
      <c r="B46" s="373"/>
      <c r="C46" s="373"/>
      <c r="D46" s="373"/>
      <c r="E46" s="373"/>
      <c r="F46" s="373"/>
      <c r="G46" s="373"/>
      <c r="H46" s="373"/>
      <c r="I46" s="373"/>
      <c r="J46" s="373"/>
      <c r="K46" s="373"/>
      <c r="L46" s="373"/>
      <c r="M46" s="373"/>
      <c r="N46" s="373"/>
      <c r="O46" s="373"/>
    </row>
    <row r="47" spans="1:15" x14ac:dyDescent="0.2">
      <c r="A47" s="983"/>
      <c r="B47" s="983"/>
      <c r="C47" s="983"/>
      <c r="D47" s="345"/>
      <c r="E47" s="371"/>
      <c r="F47" s="371"/>
      <c r="G47" s="371"/>
      <c r="H47" s="371"/>
      <c r="I47" s="371"/>
      <c r="J47" s="371"/>
      <c r="K47" s="984" t="s">
        <v>685</v>
      </c>
      <c r="L47" s="983"/>
      <c r="M47" s="985">
        <v>2495051.38</v>
      </c>
      <c r="N47" s="983"/>
      <c r="O47" s="983"/>
    </row>
    <row r="48" spans="1:15" x14ac:dyDescent="0.2">
      <c r="A48" s="983"/>
      <c r="B48" s="983"/>
      <c r="C48" s="983"/>
      <c r="D48" s="345"/>
      <c r="E48" s="371"/>
      <c r="F48" s="371"/>
      <c r="G48" s="371"/>
      <c r="H48" s="371"/>
      <c r="I48" s="371"/>
      <c r="J48" s="371"/>
      <c r="K48" s="984" t="s">
        <v>684</v>
      </c>
      <c r="L48" s="983"/>
      <c r="M48" s="985">
        <v>609139.67000000004</v>
      </c>
      <c r="N48" s="983"/>
      <c r="O48" s="983"/>
    </row>
    <row r="49" spans="1:15" x14ac:dyDescent="0.2">
      <c r="A49" s="983"/>
      <c r="B49" s="983"/>
      <c r="C49" s="983"/>
      <c r="D49" s="345"/>
      <c r="E49" s="371"/>
      <c r="F49" s="371"/>
      <c r="G49" s="371"/>
      <c r="H49" s="371"/>
      <c r="I49" s="371"/>
      <c r="J49" s="371"/>
      <c r="K49" s="984" t="s">
        <v>683</v>
      </c>
      <c r="L49" s="983"/>
      <c r="M49" s="985">
        <v>3104191.05</v>
      </c>
      <c r="N49" s="983"/>
      <c r="O49" s="983"/>
    </row>
    <row r="50" spans="1:15" ht="60" customHeight="1" x14ac:dyDescent="0.2">
      <c r="A50" s="368"/>
      <c r="B50" s="368"/>
      <c r="C50" s="368"/>
      <c r="D50" s="368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</row>
    <row r="51" spans="1:15" ht="69.95" customHeight="1" x14ac:dyDescent="0.2">
      <c r="A51" s="986" t="s">
        <v>875</v>
      </c>
      <c r="B51" s="982"/>
      <c r="C51" s="982"/>
      <c r="D51" s="982"/>
      <c r="E51" s="982"/>
      <c r="F51" s="982"/>
      <c r="G51" s="982"/>
      <c r="H51" s="982"/>
      <c r="I51" s="982"/>
      <c r="J51" s="982"/>
      <c r="K51" s="982"/>
      <c r="L51" s="982"/>
      <c r="M51" s="982"/>
      <c r="N51" s="982"/>
      <c r="O51" s="982"/>
    </row>
  </sheetData>
  <mergeCells count="30">
    <mergeCell ref="A4:A5"/>
    <mergeCell ref="P4:P5"/>
    <mergeCell ref="Q4:Q5"/>
    <mergeCell ref="F4:G4"/>
    <mergeCell ref="H4:I4"/>
    <mergeCell ref="J4:L4"/>
    <mergeCell ref="M4:M5"/>
    <mergeCell ref="N4:N5"/>
    <mergeCell ref="O4:O5"/>
    <mergeCell ref="B4:B5"/>
    <mergeCell ref="C4:C5"/>
    <mergeCell ref="D4:D5"/>
    <mergeCell ref="E4:E5"/>
    <mergeCell ref="E1:G1"/>
    <mergeCell ref="H1:O1"/>
    <mergeCell ref="E2:G2"/>
    <mergeCell ref="H2:O2"/>
    <mergeCell ref="A3:Q3"/>
    <mergeCell ref="A51:O51"/>
    <mergeCell ref="A48:C48"/>
    <mergeCell ref="K48:L48"/>
    <mergeCell ref="M48:O48"/>
    <mergeCell ref="A49:C49"/>
    <mergeCell ref="K49:L49"/>
    <mergeCell ref="M49:O49"/>
    <mergeCell ref="L44:O44"/>
    <mergeCell ref="L45:N45"/>
    <mergeCell ref="A47:C47"/>
    <mergeCell ref="K47:L47"/>
    <mergeCell ref="M47:O47"/>
  </mergeCells>
  <pageMargins left="0.5" right="0.5" top="1" bottom="1" header="0.5" footer="0.5"/>
  <pageSetup paperSize="9" scale="53" fitToHeight="0" orientation="portrait" r:id="rId1"/>
  <headerFooter>
    <oddHeader>&amp;L &amp;CFUNDACAO UNIVERSIDADE FEDERAL DO MARANHAO - UFMA
CNPJ: 06.279.103/0001-19 &amp;R</oddHeader>
    <oddFooter>&amp;L &amp;CPraça Gonçalves Dias  - Centro - São Luís / MA
 /  &amp;R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Normal="100" workbookViewId="0">
      <selection activeCell="K28" sqref="K28"/>
    </sheetView>
  </sheetViews>
  <sheetFormatPr defaultRowHeight="15" x14ac:dyDescent="0.25"/>
  <cols>
    <col min="6" max="6" width="12" customWidth="1"/>
    <col min="8" max="8" width="10.140625" bestFit="1" customWidth="1"/>
    <col min="9" max="9" width="27.28515625" customWidth="1"/>
    <col min="10" max="10" width="9.42578125" customWidth="1"/>
    <col min="11" max="11" width="12.28515625" customWidth="1"/>
    <col min="12" max="12" width="10.5703125" bestFit="1" customWidth="1"/>
    <col min="14" max="14" width="10.140625" bestFit="1" customWidth="1"/>
    <col min="15" max="15" width="9.5703125" bestFit="1" customWidth="1"/>
  </cols>
  <sheetData>
    <row r="1" spans="1:15" x14ac:dyDescent="0.25">
      <c r="A1" s="2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</row>
    <row r="2" spans="1:15" ht="18.75" x14ac:dyDescent="0.3">
      <c r="A2" s="946" t="s">
        <v>171</v>
      </c>
      <c r="B2" s="947"/>
      <c r="C2" s="947"/>
      <c r="D2" s="947"/>
      <c r="E2" s="947"/>
      <c r="F2" s="947"/>
      <c r="G2" s="947"/>
      <c r="H2" s="947"/>
      <c r="I2" s="947"/>
      <c r="J2" s="947"/>
      <c r="K2" s="947"/>
      <c r="L2" s="947"/>
      <c r="M2" s="948"/>
    </row>
    <row r="3" spans="1:15" ht="18.75" x14ac:dyDescent="0.3">
      <c r="A3" s="946" t="s">
        <v>681</v>
      </c>
      <c r="B3" s="947"/>
      <c r="C3" s="947"/>
      <c r="D3" s="947"/>
      <c r="E3" s="947"/>
      <c r="F3" s="947"/>
      <c r="G3" s="947"/>
      <c r="H3" s="947"/>
      <c r="I3" s="947"/>
      <c r="J3" s="947"/>
      <c r="K3" s="947"/>
      <c r="L3" s="947"/>
      <c r="M3" s="948"/>
    </row>
    <row r="4" spans="1:15" ht="18.75" x14ac:dyDescent="0.3">
      <c r="A4" s="946" t="s">
        <v>758</v>
      </c>
      <c r="B4" s="947"/>
      <c r="C4" s="947"/>
      <c r="D4" s="947"/>
      <c r="E4" s="947"/>
      <c r="F4" s="947"/>
      <c r="G4" s="947"/>
      <c r="H4" s="947"/>
      <c r="I4" s="947"/>
      <c r="J4" s="947"/>
      <c r="K4" s="947"/>
      <c r="L4" s="947"/>
      <c r="M4" s="948"/>
    </row>
    <row r="5" spans="1:15" ht="15.75" x14ac:dyDescent="0.25">
      <c r="A5" s="3"/>
      <c r="G5" s="318" t="s">
        <v>762</v>
      </c>
      <c r="M5" s="19"/>
    </row>
    <row r="6" spans="1:15" ht="16.5" thickBot="1" x14ac:dyDescent="0.3">
      <c r="A6" s="3"/>
      <c r="G6" s="318"/>
      <c r="M6" s="19"/>
    </row>
    <row r="7" spans="1:15" ht="34.5" customHeight="1" thickBot="1" x14ac:dyDescent="0.3">
      <c r="A7" s="66" t="s">
        <v>200</v>
      </c>
      <c r="B7" s="993" t="str">
        <f>'Prazo Valor'!B16:E16</f>
        <v>Serviços de Manutenção Preventiva e Corretiva para o Campus II Imperatriz-MA</v>
      </c>
      <c r="C7" s="993"/>
      <c r="D7" s="993"/>
      <c r="E7" s="993"/>
      <c r="F7" s="993"/>
      <c r="G7" s="993"/>
      <c r="H7" s="993"/>
      <c r="I7" s="993"/>
      <c r="J7" s="20" t="s">
        <v>522</v>
      </c>
      <c r="K7" s="21"/>
      <c r="L7" s="78">
        <v>365</v>
      </c>
      <c r="M7" s="19"/>
    </row>
    <row r="8" spans="1:15" ht="18.75" x14ac:dyDescent="0.3">
      <c r="A8" s="2"/>
      <c r="B8" s="17"/>
      <c r="C8" s="17"/>
      <c r="D8" s="17"/>
      <c r="E8" s="994" t="s">
        <v>201</v>
      </c>
      <c r="F8" s="994"/>
      <c r="G8" s="994"/>
      <c r="H8" s="994"/>
      <c r="I8" s="17"/>
      <c r="J8" s="17"/>
      <c r="K8" s="17"/>
      <c r="L8" s="17"/>
      <c r="M8" s="18"/>
    </row>
    <row r="9" spans="1:15" ht="18.75" x14ac:dyDescent="0.3">
      <c r="A9" s="3"/>
      <c r="E9" s="53"/>
      <c r="F9" s="53"/>
      <c r="G9" s="53"/>
      <c r="H9" s="53"/>
      <c r="M9" s="19"/>
    </row>
    <row r="10" spans="1:15" ht="19.5" thickBot="1" x14ac:dyDescent="0.35">
      <c r="A10" s="3"/>
      <c r="E10" s="53"/>
      <c r="F10" s="53"/>
      <c r="G10" s="53"/>
      <c r="H10" s="53"/>
      <c r="M10" s="19"/>
    </row>
    <row r="11" spans="1:15" ht="15.75" thickBot="1" x14ac:dyDescent="0.3">
      <c r="A11" s="3"/>
      <c r="C11" s="996" t="s">
        <v>202</v>
      </c>
      <c r="D11" s="997"/>
      <c r="E11" s="997"/>
      <c r="F11" s="997"/>
      <c r="G11" s="997"/>
      <c r="H11" s="997"/>
      <c r="I11" s="55" t="s">
        <v>195</v>
      </c>
      <c r="K11" s="117" t="s">
        <v>443</v>
      </c>
      <c r="L11" s="117" t="s">
        <v>435</v>
      </c>
      <c r="M11" s="19"/>
    </row>
    <row r="12" spans="1:15" x14ac:dyDescent="0.25">
      <c r="A12" s="3"/>
      <c r="C12" s="1003" t="s">
        <v>293</v>
      </c>
      <c r="D12" s="1004"/>
      <c r="E12" s="1004"/>
      <c r="F12" s="1004"/>
      <c r="G12" s="1004"/>
      <c r="H12" s="1004"/>
      <c r="I12" s="62">
        <f>'Pes. Admin.'!H26+'Pes. Admin.'!K26+'Pes. Admin.'!L26</f>
        <v>28071.676799999997</v>
      </c>
      <c r="K12" s="120">
        <f>'Pes. Admin.'!H26</f>
        <v>27115.516799999998</v>
      </c>
      <c r="L12" s="120">
        <f>'Pes. Admin.'!K26+'Pes. Admin.'!L26</f>
        <v>956.15999999999985</v>
      </c>
      <c r="M12" s="115"/>
      <c r="N12" s="46"/>
      <c r="O12" s="110"/>
    </row>
    <row r="13" spans="1:15" x14ac:dyDescent="0.25">
      <c r="A13" s="3"/>
      <c r="C13" s="992" t="s">
        <v>441</v>
      </c>
      <c r="D13" s="980"/>
      <c r="E13" s="980"/>
      <c r="F13" s="980"/>
      <c r="G13" s="980"/>
      <c r="H13" s="980"/>
      <c r="I13" s="56">
        <f>SESMT!G30</f>
        <v>4129.8131999999996</v>
      </c>
      <c r="K13" s="118"/>
      <c r="L13" s="119">
        <f>I13</f>
        <v>4129.8131999999996</v>
      </c>
      <c r="M13" s="19"/>
    </row>
    <row r="14" spans="1:15" x14ac:dyDescent="0.25">
      <c r="A14" s="3"/>
      <c r="C14" s="992" t="s">
        <v>453</v>
      </c>
      <c r="D14" s="980"/>
      <c r="E14" s="980"/>
      <c r="F14" s="980"/>
      <c r="G14" s="980"/>
      <c r="H14" s="980"/>
      <c r="I14" s="56">
        <f>'Mat. Esc. Obra'!J12</f>
        <v>0</v>
      </c>
      <c r="K14" s="118"/>
      <c r="L14" s="119">
        <f>I14</f>
        <v>0</v>
      </c>
      <c r="M14" s="19"/>
    </row>
    <row r="15" spans="1:15" x14ac:dyDescent="0.25">
      <c r="A15" s="3"/>
      <c r="C15" s="1011" t="s">
        <v>442</v>
      </c>
      <c r="D15" s="1012"/>
      <c r="E15" s="1012"/>
      <c r="F15" s="1012"/>
      <c r="G15" s="1012"/>
      <c r="H15" s="1013"/>
      <c r="I15" s="56">
        <f>'Mat. Esc. Obra'!K8</f>
        <v>0</v>
      </c>
      <c r="K15" s="118"/>
      <c r="L15" s="119">
        <f>I15</f>
        <v>0</v>
      </c>
      <c r="M15" s="19"/>
    </row>
    <row r="16" spans="1:15" x14ac:dyDescent="0.25">
      <c r="A16" s="3"/>
      <c r="C16" s="992" t="s">
        <v>547</v>
      </c>
      <c r="D16" s="980"/>
      <c r="E16" s="980"/>
      <c r="F16" s="980"/>
      <c r="G16" s="980"/>
      <c r="H16" s="980"/>
      <c r="I16" s="57">
        <f>Veíc.Mot.!L22</f>
        <v>66657.802157099999</v>
      </c>
      <c r="K16" s="118"/>
      <c r="L16" s="119">
        <f>I16</f>
        <v>66657.802157099999</v>
      </c>
      <c r="M16" s="19"/>
    </row>
    <row r="17" spans="1:17" ht="15.75" thickBot="1" x14ac:dyDescent="0.3">
      <c r="A17" s="3"/>
      <c r="C17" s="992" t="s">
        <v>546</v>
      </c>
      <c r="D17" s="980"/>
      <c r="E17" s="980"/>
      <c r="F17" s="980"/>
      <c r="G17" s="980"/>
      <c r="H17" s="980"/>
      <c r="I17" s="57">
        <f>Veíc.Mot.!L29</f>
        <v>0</v>
      </c>
      <c r="K17" s="118"/>
      <c r="L17" s="119">
        <f>I17</f>
        <v>0</v>
      </c>
      <c r="M17" s="19"/>
    </row>
    <row r="18" spans="1:17" ht="15.75" thickBot="1" x14ac:dyDescent="0.3">
      <c r="A18" s="3"/>
      <c r="C18" s="1005" t="s">
        <v>203</v>
      </c>
      <c r="D18" s="1006"/>
      <c r="E18" s="1006"/>
      <c r="F18" s="1006"/>
      <c r="G18" s="1006"/>
      <c r="H18" s="1007"/>
      <c r="I18" s="364">
        <f>SUM(I12:I17)</f>
        <v>98859.29215709999</v>
      </c>
      <c r="K18" s="120">
        <f>SUM(K12:K17)</f>
        <v>27115.516799999998</v>
      </c>
      <c r="L18" s="119">
        <f>SUM(L12:L17)</f>
        <v>71743.775357099992</v>
      </c>
      <c r="M18" s="19"/>
    </row>
    <row r="19" spans="1:17" ht="15.75" thickBot="1" x14ac:dyDescent="0.3">
      <c r="A19" s="3"/>
      <c r="C19" s="1008" t="s">
        <v>623</v>
      </c>
      <c r="D19" s="1009"/>
      <c r="E19" s="1009"/>
      <c r="F19" s="1009"/>
      <c r="G19" s="1010"/>
      <c r="H19" s="111">
        <v>1.2503</v>
      </c>
      <c r="I19" s="61">
        <f>I18*H19</f>
        <v>123603.77298402211</v>
      </c>
      <c r="K19" s="121">
        <f>K18/100</f>
        <v>271.155168</v>
      </c>
      <c r="L19" s="121">
        <f>L18/100</f>
        <v>717.43775357099992</v>
      </c>
      <c r="M19" s="19"/>
    </row>
    <row r="20" spans="1:17" x14ac:dyDescent="0.25">
      <c r="A20" s="3"/>
      <c r="I20" s="46"/>
      <c r="K20" s="266">
        <f>K19*H19</f>
        <v>339.02530655039999</v>
      </c>
      <c r="L20" s="267">
        <f>L19*H19</f>
        <v>897.01242328982119</v>
      </c>
      <c r="M20" s="19"/>
      <c r="N20" s="705" t="s">
        <v>553</v>
      </c>
      <c r="O20" s="706"/>
      <c r="P20" s="706"/>
    </row>
    <row r="21" spans="1:17" ht="15.75" thickBot="1" x14ac:dyDescent="0.3">
      <c r="A21" s="3"/>
      <c r="M21" s="19"/>
    </row>
    <row r="22" spans="1:17" ht="15.75" thickBot="1" x14ac:dyDescent="0.3">
      <c r="A22" s="3"/>
      <c r="C22" s="996" t="s">
        <v>160</v>
      </c>
      <c r="D22" s="997"/>
      <c r="E22" s="997"/>
      <c r="F22" s="997"/>
      <c r="G22" s="54" t="s">
        <v>4</v>
      </c>
      <c r="H22" s="54" t="s">
        <v>204</v>
      </c>
      <c r="I22" s="55" t="s">
        <v>205</v>
      </c>
      <c r="M22" s="19"/>
      <c r="N22" s="350"/>
    </row>
    <row r="23" spans="1:17" x14ac:dyDescent="0.25">
      <c r="A23" s="3"/>
      <c r="C23" s="1001" t="s">
        <v>287</v>
      </c>
      <c r="D23" s="1002"/>
      <c r="E23" s="1002"/>
      <c r="F23" s="1002"/>
      <c r="G23" s="63" t="s">
        <v>27</v>
      </c>
      <c r="H23" s="63">
        <v>100</v>
      </c>
      <c r="I23" s="342">
        <f>I18/100</f>
        <v>988.59292157099992</v>
      </c>
      <c r="J23" s="705" t="s">
        <v>288</v>
      </c>
      <c r="K23" s="706"/>
      <c r="L23" s="706"/>
      <c r="M23" s="998"/>
    </row>
    <row r="24" spans="1:17" ht="15.75" thickBot="1" x14ac:dyDescent="0.3">
      <c r="A24" s="3"/>
      <c r="C24" s="999" t="s">
        <v>624</v>
      </c>
      <c r="D24" s="1000"/>
      <c r="E24" s="1000"/>
      <c r="F24" s="1000"/>
      <c r="G24" s="59" t="s">
        <v>27</v>
      </c>
      <c r="H24" s="59">
        <v>100</v>
      </c>
      <c r="I24" s="58">
        <f>I19/100</f>
        <v>1236.0377298402211</v>
      </c>
      <c r="M24" s="19"/>
      <c r="O24" s="319"/>
      <c r="Q24">
        <f>I19/12</f>
        <v>10300.314415335177</v>
      </c>
    </row>
    <row r="25" spans="1:17" x14ac:dyDescent="0.25">
      <c r="A25" s="3"/>
      <c r="M25" s="19"/>
    </row>
    <row r="26" spans="1:17" x14ac:dyDescent="0.25">
      <c r="A26" s="3"/>
      <c r="C26" s="995" t="s">
        <v>531</v>
      </c>
      <c r="D26" s="995"/>
      <c r="E26" s="995"/>
      <c r="F26" s="248"/>
      <c r="G26" s="248"/>
      <c r="H26" s="248"/>
      <c r="I26" s="319">
        <f>'Prazo Valor'!H16</f>
        <v>2343140.34</v>
      </c>
      <c r="M26" s="19"/>
    </row>
    <row r="27" spans="1:17" x14ac:dyDescent="0.25">
      <c r="A27" s="3"/>
      <c r="C27" s="995" t="s">
        <v>532</v>
      </c>
      <c r="D27" s="995"/>
      <c r="E27" s="995"/>
      <c r="F27" s="248"/>
      <c r="G27" s="248"/>
      <c r="H27" s="248"/>
      <c r="I27" s="256">
        <f>I18/I26</f>
        <v>4.2190939428365611E-2</v>
      </c>
      <c r="M27" s="19"/>
      <c r="O27" s="46"/>
    </row>
    <row r="28" spans="1:17" x14ac:dyDescent="0.25">
      <c r="A28" s="3"/>
      <c r="C28" s="995" t="s">
        <v>533</v>
      </c>
      <c r="D28" s="995"/>
      <c r="E28" s="995"/>
      <c r="F28" s="248"/>
      <c r="G28" s="248"/>
      <c r="H28" s="248"/>
      <c r="I28" s="255">
        <f>0.0887*I26</f>
        <v>207836.54815799999</v>
      </c>
      <c r="K28" s="46">
        <f>I28-I18</f>
        <v>108977.2560009</v>
      </c>
      <c r="M28" s="19"/>
    </row>
    <row r="29" spans="1:17" ht="15.75" thickBot="1" x14ac:dyDescent="0.3">
      <c r="A29" s="27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1"/>
    </row>
    <row r="32" spans="1:17" x14ac:dyDescent="0.25">
      <c r="I32" s="365" t="s">
        <v>807</v>
      </c>
      <c r="J32" s="328"/>
      <c r="K32" s="328"/>
      <c r="L32" s="328"/>
    </row>
    <row r="33" spans="9:9" x14ac:dyDescent="0.25">
      <c r="I33" s="46"/>
    </row>
  </sheetData>
  <mergeCells count="22">
    <mergeCell ref="N20:P20"/>
    <mergeCell ref="C26:E26"/>
    <mergeCell ref="C27:E27"/>
    <mergeCell ref="C28:E28"/>
    <mergeCell ref="C11:H11"/>
    <mergeCell ref="J23:M23"/>
    <mergeCell ref="C24:F24"/>
    <mergeCell ref="C23:F23"/>
    <mergeCell ref="C17:H17"/>
    <mergeCell ref="C12:H12"/>
    <mergeCell ref="C18:H18"/>
    <mergeCell ref="C22:F22"/>
    <mergeCell ref="C13:H13"/>
    <mergeCell ref="C14:H14"/>
    <mergeCell ref="C19:G19"/>
    <mergeCell ref="C15:H15"/>
    <mergeCell ref="C16:H16"/>
    <mergeCell ref="B7:I7"/>
    <mergeCell ref="A2:M2"/>
    <mergeCell ref="A3:M3"/>
    <mergeCell ref="A4:M4"/>
    <mergeCell ref="E8:H8"/>
  </mergeCells>
  <pageMargins left="0.51181102362204722" right="0.51181102362204722" top="0.78740157480314965" bottom="0.78740157480314965" header="0.31496062992125984" footer="0.31496062992125984"/>
  <pageSetup scale="82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3"/>
  <sheetViews>
    <sheetView tabSelected="1" view="pageBreakPreview" zoomScale="110" zoomScaleNormal="100" zoomScaleSheetLayoutView="110" workbookViewId="0">
      <selection activeCell="L4" sqref="L4"/>
    </sheetView>
  </sheetViews>
  <sheetFormatPr defaultRowHeight="15" x14ac:dyDescent="0.25"/>
  <cols>
    <col min="1" max="1" width="6.85546875" style="395" customWidth="1"/>
    <col min="2" max="2" width="33.5703125" style="395" customWidth="1"/>
    <col min="3" max="4" width="6.7109375" style="395" customWidth="1"/>
    <col min="5" max="5" width="8.7109375" style="395" customWidth="1"/>
    <col min="6" max="6" width="10.5703125" style="395" customWidth="1"/>
    <col min="7" max="7" width="9.7109375" style="395" customWidth="1"/>
    <col min="8" max="8" width="11.42578125" style="395" bestFit="1" customWidth="1"/>
    <col min="9" max="9" width="11.5703125" style="395" bestFit="1" customWidth="1"/>
    <col min="10" max="10" width="1.28515625" style="395" customWidth="1"/>
    <col min="11" max="11" width="8.140625" style="395" bestFit="1" customWidth="1"/>
    <col min="12" max="12" width="10.5703125" style="395" bestFit="1" customWidth="1"/>
    <col min="13" max="13" width="9.140625" style="395"/>
    <col min="14" max="14" width="10.42578125" style="395" bestFit="1" customWidth="1"/>
    <col min="15" max="255" width="9.140625" style="395"/>
    <col min="256" max="256" width="39.5703125" style="395" customWidth="1"/>
    <col min="257" max="257" width="4.7109375" style="395" customWidth="1"/>
    <col min="258" max="258" width="9.7109375" style="395" customWidth="1"/>
    <col min="259" max="259" width="4.7109375" style="395" customWidth="1"/>
    <col min="260" max="260" width="9.7109375" style="395" customWidth="1"/>
    <col min="261" max="261" width="4.7109375" style="395" customWidth="1"/>
    <col min="262" max="262" width="9.7109375" style="395" customWidth="1"/>
    <col min="263" max="263" width="5.7109375" style="395" customWidth="1"/>
    <col min="264" max="264" width="10.7109375" style="395" customWidth="1"/>
    <col min="265" max="511" width="9.140625" style="395"/>
    <col min="512" max="512" width="39.5703125" style="395" customWidth="1"/>
    <col min="513" max="513" width="4.7109375" style="395" customWidth="1"/>
    <col min="514" max="514" width="9.7109375" style="395" customWidth="1"/>
    <col min="515" max="515" width="4.7109375" style="395" customWidth="1"/>
    <col min="516" max="516" width="9.7109375" style="395" customWidth="1"/>
    <col min="517" max="517" width="4.7109375" style="395" customWidth="1"/>
    <col min="518" max="518" width="9.7109375" style="395" customWidth="1"/>
    <col min="519" max="519" width="5.7109375" style="395" customWidth="1"/>
    <col min="520" max="520" width="10.7109375" style="395" customWidth="1"/>
    <col min="521" max="767" width="9.140625" style="395"/>
    <col min="768" max="768" width="39.5703125" style="395" customWidth="1"/>
    <col min="769" max="769" width="4.7109375" style="395" customWidth="1"/>
    <col min="770" max="770" width="9.7109375" style="395" customWidth="1"/>
    <col min="771" max="771" width="4.7109375" style="395" customWidth="1"/>
    <col min="772" max="772" width="9.7109375" style="395" customWidth="1"/>
    <col min="773" max="773" width="4.7109375" style="395" customWidth="1"/>
    <col min="774" max="774" width="9.7109375" style="395" customWidth="1"/>
    <col min="775" max="775" width="5.7109375" style="395" customWidth="1"/>
    <col min="776" max="776" width="10.7109375" style="395" customWidth="1"/>
    <col min="777" max="1023" width="9.140625" style="395"/>
    <col min="1024" max="1024" width="39.5703125" style="395" customWidth="1"/>
    <col min="1025" max="1025" width="4.7109375" style="395" customWidth="1"/>
    <col min="1026" max="1026" width="9.7109375" style="395" customWidth="1"/>
    <col min="1027" max="1027" width="4.7109375" style="395" customWidth="1"/>
    <col min="1028" max="1028" width="9.7109375" style="395" customWidth="1"/>
    <col min="1029" max="1029" width="4.7109375" style="395" customWidth="1"/>
    <col min="1030" max="1030" width="9.7109375" style="395" customWidth="1"/>
    <col min="1031" max="1031" width="5.7109375" style="395" customWidth="1"/>
    <col min="1032" max="1032" width="10.7109375" style="395" customWidth="1"/>
    <col min="1033" max="1279" width="9.140625" style="395"/>
    <col min="1280" max="1280" width="39.5703125" style="395" customWidth="1"/>
    <col min="1281" max="1281" width="4.7109375" style="395" customWidth="1"/>
    <col min="1282" max="1282" width="9.7109375" style="395" customWidth="1"/>
    <col min="1283" max="1283" width="4.7109375" style="395" customWidth="1"/>
    <col min="1284" max="1284" width="9.7109375" style="395" customWidth="1"/>
    <col min="1285" max="1285" width="4.7109375" style="395" customWidth="1"/>
    <col min="1286" max="1286" width="9.7109375" style="395" customWidth="1"/>
    <col min="1287" max="1287" width="5.7109375" style="395" customWidth="1"/>
    <col min="1288" max="1288" width="10.7109375" style="395" customWidth="1"/>
    <col min="1289" max="1535" width="9.140625" style="395"/>
    <col min="1536" max="1536" width="39.5703125" style="395" customWidth="1"/>
    <col min="1537" max="1537" width="4.7109375" style="395" customWidth="1"/>
    <col min="1538" max="1538" width="9.7109375" style="395" customWidth="1"/>
    <col min="1539" max="1539" width="4.7109375" style="395" customWidth="1"/>
    <col min="1540" max="1540" width="9.7109375" style="395" customWidth="1"/>
    <col min="1541" max="1541" width="4.7109375" style="395" customWidth="1"/>
    <col min="1542" max="1542" width="9.7109375" style="395" customWidth="1"/>
    <col min="1543" max="1543" width="5.7109375" style="395" customWidth="1"/>
    <col min="1544" max="1544" width="10.7109375" style="395" customWidth="1"/>
    <col min="1545" max="1791" width="9.140625" style="395"/>
    <col min="1792" max="1792" width="39.5703125" style="395" customWidth="1"/>
    <col min="1793" max="1793" width="4.7109375" style="395" customWidth="1"/>
    <col min="1794" max="1794" width="9.7109375" style="395" customWidth="1"/>
    <col min="1795" max="1795" width="4.7109375" style="395" customWidth="1"/>
    <col min="1796" max="1796" width="9.7109375" style="395" customWidth="1"/>
    <col min="1797" max="1797" width="4.7109375" style="395" customWidth="1"/>
    <col min="1798" max="1798" width="9.7109375" style="395" customWidth="1"/>
    <col min="1799" max="1799" width="5.7109375" style="395" customWidth="1"/>
    <col min="1800" max="1800" width="10.7109375" style="395" customWidth="1"/>
    <col min="1801" max="2047" width="9.140625" style="395"/>
    <col min="2048" max="2048" width="39.5703125" style="395" customWidth="1"/>
    <col min="2049" max="2049" width="4.7109375" style="395" customWidth="1"/>
    <col min="2050" max="2050" width="9.7109375" style="395" customWidth="1"/>
    <col min="2051" max="2051" width="4.7109375" style="395" customWidth="1"/>
    <col min="2052" max="2052" width="9.7109375" style="395" customWidth="1"/>
    <col min="2053" max="2053" width="4.7109375" style="395" customWidth="1"/>
    <col min="2054" max="2054" width="9.7109375" style="395" customWidth="1"/>
    <col min="2055" max="2055" width="5.7109375" style="395" customWidth="1"/>
    <col min="2056" max="2056" width="10.7109375" style="395" customWidth="1"/>
    <col min="2057" max="2303" width="9.140625" style="395"/>
    <col min="2304" max="2304" width="39.5703125" style="395" customWidth="1"/>
    <col min="2305" max="2305" width="4.7109375" style="395" customWidth="1"/>
    <col min="2306" max="2306" width="9.7109375" style="395" customWidth="1"/>
    <col min="2307" max="2307" width="4.7109375" style="395" customWidth="1"/>
    <col min="2308" max="2308" width="9.7109375" style="395" customWidth="1"/>
    <col min="2309" max="2309" width="4.7109375" style="395" customWidth="1"/>
    <col min="2310" max="2310" width="9.7109375" style="395" customWidth="1"/>
    <col min="2311" max="2311" width="5.7109375" style="395" customWidth="1"/>
    <col min="2312" max="2312" width="10.7109375" style="395" customWidth="1"/>
    <col min="2313" max="2559" width="9.140625" style="395"/>
    <col min="2560" max="2560" width="39.5703125" style="395" customWidth="1"/>
    <col min="2561" max="2561" width="4.7109375" style="395" customWidth="1"/>
    <col min="2562" max="2562" width="9.7109375" style="395" customWidth="1"/>
    <col min="2563" max="2563" width="4.7109375" style="395" customWidth="1"/>
    <col min="2564" max="2564" width="9.7109375" style="395" customWidth="1"/>
    <col min="2565" max="2565" width="4.7109375" style="395" customWidth="1"/>
    <col min="2566" max="2566" width="9.7109375" style="395" customWidth="1"/>
    <col min="2567" max="2567" width="5.7109375" style="395" customWidth="1"/>
    <col min="2568" max="2568" width="10.7109375" style="395" customWidth="1"/>
    <col min="2569" max="2815" width="9.140625" style="395"/>
    <col min="2816" max="2816" width="39.5703125" style="395" customWidth="1"/>
    <col min="2817" max="2817" width="4.7109375" style="395" customWidth="1"/>
    <col min="2818" max="2818" width="9.7109375" style="395" customWidth="1"/>
    <col min="2819" max="2819" width="4.7109375" style="395" customWidth="1"/>
    <col min="2820" max="2820" width="9.7109375" style="395" customWidth="1"/>
    <col min="2821" max="2821" width="4.7109375" style="395" customWidth="1"/>
    <col min="2822" max="2822" width="9.7109375" style="395" customWidth="1"/>
    <col min="2823" max="2823" width="5.7109375" style="395" customWidth="1"/>
    <col min="2824" max="2824" width="10.7109375" style="395" customWidth="1"/>
    <col min="2825" max="3071" width="9.140625" style="395"/>
    <col min="3072" max="3072" width="39.5703125" style="395" customWidth="1"/>
    <col min="3073" max="3073" width="4.7109375" style="395" customWidth="1"/>
    <col min="3074" max="3074" width="9.7109375" style="395" customWidth="1"/>
    <col min="3075" max="3075" width="4.7109375" style="395" customWidth="1"/>
    <col min="3076" max="3076" width="9.7109375" style="395" customWidth="1"/>
    <col min="3077" max="3077" width="4.7109375" style="395" customWidth="1"/>
    <col min="3078" max="3078" width="9.7109375" style="395" customWidth="1"/>
    <col min="3079" max="3079" width="5.7109375" style="395" customWidth="1"/>
    <col min="3080" max="3080" width="10.7109375" style="395" customWidth="1"/>
    <col min="3081" max="3327" width="9.140625" style="395"/>
    <col min="3328" max="3328" width="39.5703125" style="395" customWidth="1"/>
    <col min="3329" max="3329" width="4.7109375" style="395" customWidth="1"/>
    <col min="3330" max="3330" width="9.7109375" style="395" customWidth="1"/>
    <col min="3331" max="3331" width="4.7109375" style="395" customWidth="1"/>
    <col min="3332" max="3332" width="9.7109375" style="395" customWidth="1"/>
    <col min="3333" max="3333" width="4.7109375" style="395" customWidth="1"/>
    <col min="3334" max="3334" width="9.7109375" style="395" customWidth="1"/>
    <col min="3335" max="3335" width="5.7109375" style="395" customWidth="1"/>
    <col min="3336" max="3336" width="10.7109375" style="395" customWidth="1"/>
    <col min="3337" max="3583" width="9.140625" style="395"/>
    <col min="3584" max="3584" width="39.5703125" style="395" customWidth="1"/>
    <col min="3585" max="3585" width="4.7109375" style="395" customWidth="1"/>
    <col min="3586" max="3586" width="9.7109375" style="395" customWidth="1"/>
    <col min="3587" max="3587" width="4.7109375" style="395" customWidth="1"/>
    <col min="3588" max="3588" width="9.7109375" style="395" customWidth="1"/>
    <col min="3589" max="3589" width="4.7109375" style="395" customWidth="1"/>
    <col min="3590" max="3590" width="9.7109375" style="395" customWidth="1"/>
    <col min="3591" max="3591" width="5.7109375" style="395" customWidth="1"/>
    <col min="3592" max="3592" width="10.7109375" style="395" customWidth="1"/>
    <col min="3593" max="3839" width="9.140625" style="395"/>
    <col min="3840" max="3840" width="39.5703125" style="395" customWidth="1"/>
    <col min="3841" max="3841" width="4.7109375" style="395" customWidth="1"/>
    <col min="3842" max="3842" width="9.7109375" style="395" customWidth="1"/>
    <col min="3843" max="3843" width="4.7109375" style="395" customWidth="1"/>
    <col min="3844" max="3844" width="9.7109375" style="395" customWidth="1"/>
    <col min="3845" max="3845" width="4.7109375" style="395" customWidth="1"/>
    <col min="3846" max="3846" width="9.7109375" style="395" customWidth="1"/>
    <col min="3847" max="3847" width="5.7109375" style="395" customWidth="1"/>
    <col min="3848" max="3848" width="10.7109375" style="395" customWidth="1"/>
    <col min="3849" max="4095" width="9.140625" style="395"/>
    <col min="4096" max="4096" width="39.5703125" style="395" customWidth="1"/>
    <col min="4097" max="4097" width="4.7109375" style="395" customWidth="1"/>
    <col min="4098" max="4098" width="9.7109375" style="395" customWidth="1"/>
    <col min="4099" max="4099" width="4.7109375" style="395" customWidth="1"/>
    <col min="4100" max="4100" width="9.7109375" style="395" customWidth="1"/>
    <col min="4101" max="4101" width="4.7109375" style="395" customWidth="1"/>
    <col min="4102" max="4102" width="9.7109375" style="395" customWidth="1"/>
    <col min="4103" max="4103" width="5.7109375" style="395" customWidth="1"/>
    <col min="4104" max="4104" width="10.7109375" style="395" customWidth="1"/>
    <col min="4105" max="4351" width="9.140625" style="395"/>
    <col min="4352" max="4352" width="39.5703125" style="395" customWidth="1"/>
    <col min="4353" max="4353" width="4.7109375" style="395" customWidth="1"/>
    <col min="4354" max="4354" width="9.7109375" style="395" customWidth="1"/>
    <col min="4355" max="4355" width="4.7109375" style="395" customWidth="1"/>
    <col min="4356" max="4356" width="9.7109375" style="395" customWidth="1"/>
    <col min="4357" max="4357" width="4.7109375" style="395" customWidth="1"/>
    <col min="4358" max="4358" width="9.7109375" style="395" customWidth="1"/>
    <col min="4359" max="4359" width="5.7109375" style="395" customWidth="1"/>
    <col min="4360" max="4360" width="10.7109375" style="395" customWidth="1"/>
    <col min="4361" max="4607" width="9.140625" style="395"/>
    <col min="4608" max="4608" width="39.5703125" style="395" customWidth="1"/>
    <col min="4609" max="4609" width="4.7109375" style="395" customWidth="1"/>
    <col min="4610" max="4610" width="9.7109375" style="395" customWidth="1"/>
    <col min="4611" max="4611" width="4.7109375" style="395" customWidth="1"/>
    <col min="4612" max="4612" width="9.7109375" style="395" customWidth="1"/>
    <col min="4613" max="4613" width="4.7109375" style="395" customWidth="1"/>
    <col min="4614" max="4614" width="9.7109375" style="395" customWidth="1"/>
    <col min="4615" max="4615" width="5.7109375" style="395" customWidth="1"/>
    <col min="4616" max="4616" width="10.7109375" style="395" customWidth="1"/>
    <col min="4617" max="4863" width="9.140625" style="395"/>
    <col min="4864" max="4864" width="39.5703125" style="395" customWidth="1"/>
    <col min="4865" max="4865" width="4.7109375" style="395" customWidth="1"/>
    <col min="4866" max="4866" width="9.7109375" style="395" customWidth="1"/>
    <col min="4867" max="4867" width="4.7109375" style="395" customWidth="1"/>
    <col min="4868" max="4868" width="9.7109375" style="395" customWidth="1"/>
    <col min="4869" max="4869" width="4.7109375" style="395" customWidth="1"/>
    <col min="4870" max="4870" width="9.7109375" style="395" customWidth="1"/>
    <col min="4871" max="4871" width="5.7109375" style="395" customWidth="1"/>
    <col min="4872" max="4872" width="10.7109375" style="395" customWidth="1"/>
    <col min="4873" max="5119" width="9.140625" style="395"/>
    <col min="5120" max="5120" width="39.5703125" style="395" customWidth="1"/>
    <col min="5121" max="5121" width="4.7109375" style="395" customWidth="1"/>
    <col min="5122" max="5122" width="9.7109375" style="395" customWidth="1"/>
    <col min="5123" max="5123" width="4.7109375" style="395" customWidth="1"/>
    <col min="5124" max="5124" width="9.7109375" style="395" customWidth="1"/>
    <col min="5125" max="5125" width="4.7109375" style="395" customWidth="1"/>
    <col min="5126" max="5126" width="9.7109375" style="395" customWidth="1"/>
    <col min="5127" max="5127" width="5.7109375" style="395" customWidth="1"/>
    <col min="5128" max="5128" width="10.7109375" style="395" customWidth="1"/>
    <col min="5129" max="5375" width="9.140625" style="395"/>
    <col min="5376" max="5376" width="39.5703125" style="395" customWidth="1"/>
    <col min="5377" max="5377" width="4.7109375" style="395" customWidth="1"/>
    <col min="5378" max="5378" width="9.7109375" style="395" customWidth="1"/>
    <col min="5379" max="5379" width="4.7109375" style="395" customWidth="1"/>
    <col min="5380" max="5380" width="9.7109375" style="395" customWidth="1"/>
    <col min="5381" max="5381" width="4.7109375" style="395" customWidth="1"/>
    <col min="5382" max="5382" width="9.7109375" style="395" customWidth="1"/>
    <col min="5383" max="5383" width="5.7109375" style="395" customWidth="1"/>
    <col min="5384" max="5384" width="10.7109375" style="395" customWidth="1"/>
    <col min="5385" max="5631" width="9.140625" style="395"/>
    <col min="5632" max="5632" width="39.5703125" style="395" customWidth="1"/>
    <col min="5633" max="5633" width="4.7109375" style="395" customWidth="1"/>
    <col min="5634" max="5634" width="9.7109375" style="395" customWidth="1"/>
    <col min="5635" max="5635" width="4.7109375" style="395" customWidth="1"/>
    <col min="5636" max="5636" width="9.7109375" style="395" customWidth="1"/>
    <col min="5637" max="5637" width="4.7109375" style="395" customWidth="1"/>
    <col min="5638" max="5638" width="9.7109375" style="395" customWidth="1"/>
    <col min="5639" max="5639" width="5.7109375" style="395" customWidth="1"/>
    <col min="5640" max="5640" width="10.7109375" style="395" customWidth="1"/>
    <col min="5641" max="5887" width="9.140625" style="395"/>
    <col min="5888" max="5888" width="39.5703125" style="395" customWidth="1"/>
    <col min="5889" max="5889" width="4.7109375" style="395" customWidth="1"/>
    <col min="5890" max="5890" width="9.7109375" style="395" customWidth="1"/>
    <col min="5891" max="5891" width="4.7109375" style="395" customWidth="1"/>
    <col min="5892" max="5892" width="9.7109375" style="395" customWidth="1"/>
    <col min="5893" max="5893" width="4.7109375" style="395" customWidth="1"/>
    <col min="5894" max="5894" width="9.7109375" style="395" customWidth="1"/>
    <col min="5895" max="5895" width="5.7109375" style="395" customWidth="1"/>
    <col min="5896" max="5896" width="10.7109375" style="395" customWidth="1"/>
    <col min="5897" max="6143" width="9.140625" style="395"/>
    <col min="6144" max="6144" width="39.5703125" style="395" customWidth="1"/>
    <col min="6145" max="6145" width="4.7109375" style="395" customWidth="1"/>
    <col min="6146" max="6146" width="9.7109375" style="395" customWidth="1"/>
    <col min="6147" max="6147" width="4.7109375" style="395" customWidth="1"/>
    <col min="6148" max="6148" width="9.7109375" style="395" customWidth="1"/>
    <col min="6149" max="6149" width="4.7109375" style="395" customWidth="1"/>
    <col min="6150" max="6150" width="9.7109375" style="395" customWidth="1"/>
    <col min="6151" max="6151" width="5.7109375" style="395" customWidth="1"/>
    <col min="6152" max="6152" width="10.7109375" style="395" customWidth="1"/>
    <col min="6153" max="6399" width="9.140625" style="395"/>
    <col min="6400" max="6400" width="39.5703125" style="395" customWidth="1"/>
    <col min="6401" max="6401" width="4.7109375" style="395" customWidth="1"/>
    <col min="6402" max="6402" width="9.7109375" style="395" customWidth="1"/>
    <col min="6403" max="6403" width="4.7109375" style="395" customWidth="1"/>
    <col min="6404" max="6404" width="9.7109375" style="395" customWidth="1"/>
    <col min="6405" max="6405" width="4.7109375" style="395" customWidth="1"/>
    <col min="6406" max="6406" width="9.7109375" style="395" customWidth="1"/>
    <col min="6407" max="6407" width="5.7109375" style="395" customWidth="1"/>
    <col min="6408" max="6408" width="10.7109375" style="395" customWidth="1"/>
    <col min="6409" max="6655" width="9.140625" style="395"/>
    <col min="6656" max="6656" width="39.5703125" style="395" customWidth="1"/>
    <col min="6657" max="6657" width="4.7109375" style="395" customWidth="1"/>
    <col min="6658" max="6658" width="9.7109375" style="395" customWidth="1"/>
    <col min="6659" max="6659" width="4.7109375" style="395" customWidth="1"/>
    <col min="6660" max="6660" width="9.7109375" style="395" customWidth="1"/>
    <col min="6661" max="6661" width="4.7109375" style="395" customWidth="1"/>
    <col min="6662" max="6662" width="9.7109375" style="395" customWidth="1"/>
    <col min="6663" max="6663" width="5.7109375" style="395" customWidth="1"/>
    <col min="6664" max="6664" width="10.7109375" style="395" customWidth="1"/>
    <col min="6665" max="6911" width="9.140625" style="395"/>
    <col min="6912" max="6912" width="39.5703125" style="395" customWidth="1"/>
    <col min="6913" max="6913" width="4.7109375" style="395" customWidth="1"/>
    <col min="6914" max="6914" width="9.7109375" style="395" customWidth="1"/>
    <col min="6915" max="6915" width="4.7109375" style="395" customWidth="1"/>
    <col min="6916" max="6916" width="9.7109375" style="395" customWidth="1"/>
    <col min="6917" max="6917" width="4.7109375" style="395" customWidth="1"/>
    <col min="6918" max="6918" width="9.7109375" style="395" customWidth="1"/>
    <col min="6919" max="6919" width="5.7109375" style="395" customWidth="1"/>
    <col min="6920" max="6920" width="10.7109375" style="395" customWidth="1"/>
    <col min="6921" max="7167" width="9.140625" style="395"/>
    <col min="7168" max="7168" width="39.5703125" style="395" customWidth="1"/>
    <col min="7169" max="7169" width="4.7109375" style="395" customWidth="1"/>
    <col min="7170" max="7170" width="9.7109375" style="395" customWidth="1"/>
    <col min="7171" max="7171" width="4.7109375" style="395" customWidth="1"/>
    <col min="7172" max="7172" width="9.7109375" style="395" customWidth="1"/>
    <col min="7173" max="7173" width="4.7109375" style="395" customWidth="1"/>
    <col min="7174" max="7174" width="9.7109375" style="395" customWidth="1"/>
    <col min="7175" max="7175" width="5.7109375" style="395" customWidth="1"/>
    <col min="7176" max="7176" width="10.7109375" style="395" customWidth="1"/>
    <col min="7177" max="7423" width="9.140625" style="395"/>
    <col min="7424" max="7424" width="39.5703125" style="395" customWidth="1"/>
    <col min="7425" max="7425" width="4.7109375" style="395" customWidth="1"/>
    <col min="7426" max="7426" width="9.7109375" style="395" customWidth="1"/>
    <col min="7427" max="7427" width="4.7109375" style="395" customWidth="1"/>
    <col min="7428" max="7428" width="9.7109375" style="395" customWidth="1"/>
    <col min="7429" max="7429" width="4.7109375" style="395" customWidth="1"/>
    <col min="7430" max="7430" width="9.7109375" style="395" customWidth="1"/>
    <col min="7431" max="7431" width="5.7109375" style="395" customWidth="1"/>
    <col min="7432" max="7432" width="10.7109375" style="395" customWidth="1"/>
    <col min="7433" max="7679" width="9.140625" style="395"/>
    <col min="7680" max="7680" width="39.5703125" style="395" customWidth="1"/>
    <col min="7681" max="7681" width="4.7109375" style="395" customWidth="1"/>
    <col min="7682" max="7682" width="9.7109375" style="395" customWidth="1"/>
    <col min="7683" max="7683" width="4.7109375" style="395" customWidth="1"/>
    <col min="7684" max="7684" width="9.7109375" style="395" customWidth="1"/>
    <col min="7685" max="7685" width="4.7109375" style="395" customWidth="1"/>
    <col min="7686" max="7686" width="9.7109375" style="395" customWidth="1"/>
    <col min="7687" max="7687" width="5.7109375" style="395" customWidth="1"/>
    <col min="7688" max="7688" width="10.7109375" style="395" customWidth="1"/>
    <col min="7689" max="7935" width="9.140625" style="395"/>
    <col min="7936" max="7936" width="39.5703125" style="395" customWidth="1"/>
    <col min="7937" max="7937" width="4.7109375" style="395" customWidth="1"/>
    <col min="7938" max="7938" width="9.7109375" style="395" customWidth="1"/>
    <col min="7939" max="7939" width="4.7109375" style="395" customWidth="1"/>
    <col min="7940" max="7940" width="9.7109375" style="395" customWidth="1"/>
    <col min="7941" max="7941" width="4.7109375" style="395" customWidth="1"/>
    <col min="7942" max="7942" width="9.7109375" style="395" customWidth="1"/>
    <col min="7943" max="7943" width="5.7109375" style="395" customWidth="1"/>
    <col min="7944" max="7944" width="10.7109375" style="395" customWidth="1"/>
    <col min="7945" max="8191" width="9.140625" style="395"/>
    <col min="8192" max="8192" width="39.5703125" style="395" customWidth="1"/>
    <col min="8193" max="8193" width="4.7109375" style="395" customWidth="1"/>
    <col min="8194" max="8194" width="9.7109375" style="395" customWidth="1"/>
    <col min="8195" max="8195" width="4.7109375" style="395" customWidth="1"/>
    <col min="8196" max="8196" width="9.7109375" style="395" customWidth="1"/>
    <col min="8197" max="8197" width="4.7109375" style="395" customWidth="1"/>
    <col min="8198" max="8198" width="9.7109375" style="395" customWidth="1"/>
    <col min="8199" max="8199" width="5.7109375" style="395" customWidth="1"/>
    <col min="8200" max="8200" width="10.7109375" style="395" customWidth="1"/>
    <col min="8201" max="8447" width="9.140625" style="395"/>
    <col min="8448" max="8448" width="39.5703125" style="395" customWidth="1"/>
    <col min="8449" max="8449" width="4.7109375" style="395" customWidth="1"/>
    <col min="8450" max="8450" width="9.7109375" style="395" customWidth="1"/>
    <col min="8451" max="8451" width="4.7109375" style="395" customWidth="1"/>
    <col min="8452" max="8452" width="9.7109375" style="395" customWidth="1"/>
    <col min="8453" max="8453" width="4.7109375" style="395" customWidth="1"/>
    <col min="8454" max="8454" width="9.7109375" style="395" customWidth="1"/>
    <col min="8455" max="8455" width="5.7109375" style="395" customWidth="1"/>
    <col min="8456" max="8456" width="10.7109375" style="395" customWidth="1"/>
    <col min="8457" max="8703" width="9.140625" style="395"/>
    <col min="8704" max="8704" width="39.5703125" style="395" customWidth="1"/>
    <col min="8705" max="8705" width="4.7109375" style="395" customWidth="1"/>
    <col min="8706" max="8706" width="9.7109375" style="395" customWidth="1"/>
    <col min="8707" max="8707" width="4.7109375" style="395" customWidth="1"/>
    <col min="8708" max="8708" width="9.7109375" style="395" customWidth="1"/>
    <col min="8709" max="8709" width="4.7109375" style="395" customWidth="1"/>
    <col min="8710" max="8710" width="9.7109375" style="395" customWidth="1"/>
    <col min="8711" max="8711" width="5.7109375" style="395" customWidth="1"/>
    <col min="8712" max="8712" width="10.7109375" style="395" customWidth="1"/>
    <col min="8713" max="8959" width="9.140625" style="395"/>
    <col min="8960" max="8960" width="39.5703125" style="395" customWidth="1"/>
    <col min="8961" max="8961" width="4.7109375" style="395" customWidth="1"/>
    <col min="8962" max="8962" width="9.7109375" style="395" customWidth="1"/>
    <col min="8963" max="8963" width="4.7109375" style="395" customWidth="1"/>
    <col min="8964" max="8964" width="9.7109375" style="395" customWidth="1"/>
    <col min="8965" max="8965" width="4.7109375" style="395" customWidth="1"/>
    <col min="8966" max="8966" width="9.7109375" style="395" customWidth="1"/>
    <col min="8967" max="8967" width="5.7109375" style="395" customWidth="1"/>
    <col min="8968" max="8968" width="10.7109375" style="395" customWidth="1"/>
    <col min="8969" max="9215" width="9.140625" style="395"/>
    <col min="9216" max="9216" width="39.5703125" style="395" customWidth="1"/>
    <col min="9217" max="9217" width="4.7109375" style="395" customWidth="1"/>
    <col min="9218" max="9218" width="9.7109375" style="395" customWidth="1"/>
    <col min="9219" max="9219" width="4.7109375" style="395" customWidth="1"/>
    <col min="9220" max="9220" width="9.7109375" style="395" customWidth="1"/>
    <col min="9221" max="9221" width="4.7109375" style="395" customWidth="1"/>
    <col min="9222" max="9222" width="9.7109375" style="395" customWidth="1"/>
    <col min="9223" max="9223" width="5.7109375" style="395" customWidth="1"/>
    <col min="9224" max="9224" width="10.7109375" style="395" customWidth="1"/>
    <col min="9225" max="9471" width="9.140625" style="395"/>
    <col min="9472" max="9472" width="39.5703125" style="395" customWidth="1"/>
    <col min="9473" max="9473" width="4.7109375" style="395" customWidth="1"/>
    <col min="9474" max="9474" width="9.7109375" style="395" customWidth="1"/>
    <col min="9475" max="9475" width="4.7109375" style="395" customWidth="1"/>
    <col min="9476" max="9476" width="9.7109375" style="395" customWidth="1"/>
    <col min="9477" max="9477" width="4.7109375" style="395" customWidth="1"/>
    <col min="9478" max="9478" width="9.7109375" style="395" customWidth="1"/>
    <col min="9479" max="9479" width="5.7109375" style="395" customWidth="1"/>
    <col min="9480" max="9480" width="10.7109375" style="395" customWidth="1"/>
    <col min="9481" max="9727" width="9.140625" style="395"/>
    <col min="9728" max="9728" width="39.5703125" style="395" customWidth="1"/>
    <col min="9729" max="9729" width="4.7109375" style="395" customWidth="1"/>
    <col min="9730" max="9730" width="9.7109375" style="395" customWidth="1"/>
    <col min="9731" max="9731" width="4.7109375" style="395" customWidth="1"/>
    <col min="9732" max="9732" width="9.7109375" style="395" customWidth="1"/>
    <col min="9733" max="9733" width="4.7109375" style="395" customWidth="1"/>
    <col min="9734" max="9734" width="9.7109375" style="395" customWidth="1"/>
    <col min="9735" max="9735" width="5.7109375" style="395" customWidth="1"/>
    <col min="9736" max="9736" width="10.7109375" style="395" customWidth="1"/>
    <col min="9737" max="9983" width="9.140625" style="395"/>
    <col min="9984" max="9984" width="39.5703125" style="395" customWidth="1"/>
    <col min="9985" max="9985" width="4.7109375" style="395" customWidth="1"/>
    <col min="9986" max="9986" width="9.7109375" style="395" customWidth="1"/>
    <col min="9987" max="9987" width="4.7109375" style="395" customWidth="1"/>
    <col min="9988" max="9988" width="9.7109375" style="395" customWidth="1"/>
    <col min="9989" max="9989" width="4.7109375" style="395" customWidth="1"/>
    <col min="9990" max="9990" width="9.7109375" style="395" customWidth="1"/>
    <col min="9991" max="9991" width="5.7109375" style="395" customWidth="1"/>
    <col min="9992" max="9992" width="10.7109375" style="395" customWidth="1"/>
    <col min="9993" max="10239" width="9.140625" style="395"/>
    <col min="10240" max="10240" width="39.5703125" style="395" customWidth="1"/>
    <col min="10241" max="10241" width="4.7109375" style="395" customWidth="1"/>
    <col min="10242" max="10242" width="9.7109375" style="395" customWidth="1"/>
    <col min="10243" max="10243" width="4.7109375" style="395" customWidth="1"/>
    <col min="10244" max="10244" width="9.7109375" style="395" customWidth="1"/>
    <col min="10245" max="10245" width="4.7109375" style="395" customWidth="1"/>
    <col min="10246" max="10246" width="9.7109375" style="395" customWidth="1"/>
    <col min="10247" max="10247" width="5.7109375" style="395" customWidth="1"/>
    <col min="10248" max="10248" width="10.7109375" style="395" customWidth="1"/>
    <col min="10249" max="10495" width="9.140625" style="395"/>
    <col min="10496" max="10496" width="39.5703125" style="395" customWidth="1"/>
    <col min="10497" max="10497" width="4.7109375" style="395" customWidth="1"/>
    <col min="10498" max="10498" width="9.7109375" style="395" customWidth="1"/>
    <col min="10499" max="10499" width="4.7109375" style="395" customWidth="1"/>
    <col min="10500" max="10500" width="9.7109375" style="395" customWidth="1"/>
    <col min="10501" max="10501" width="4.7109375" style="395" customWidth="1"/>
    <col min="10502" max="10502" width="9.7109375" style="395" customWidth="1"/>
    <col min="10503" max="10503" width="5.7109375" style="395" customWidth="1"/>
    <col min="10504" max="10504" width="10.7109375" style="395" customWidth="1"/>
    <col min="10505" max="10751" width="9.140625" style="395"/>
    <col min="10752" max="10752" width="39.5703125" style="395" customWidth="1"/>
    <col min="10753" max="10753" width="4.7109375" style="395" customWidth="1"/>
    <col min="10754" max="10754" width="9.7109375" style="395" customWidth="1"/>
    <col min="10755" max="10755" width="4.7109375" style="395" customWidth="1"/>
    <col min="10756" max="10756" width="9.7109375" style="395" customWidth="1"/>
    <col min="10757" max="10757" width="4.7109375" style="395" customWidth="1"/>
    <col min="10758" max="10758" width="9.7109375" style="395" customWidth="1"/>
    <col min="10759" max="10759" width="5.7109375" style="395" customWidth="1"/>
    <col min="10760" max="10760" width="10.7109375" style="395" customWidth="1"/>
    <col min="10761" max="11007" width="9.140625" style="395"/>
    <col min="11008" max="11008" width="39.5703125" style="395" customWidth="1"/>
    <col min="11009" max="11009" width="4.7109375" style="395" customWidth="1"/>
    <col min="11010" max="11010" width="9.7109375" style="395" customWidth="1"/>
    <col min="11011" max="11011" width="4.7109375" style="395" customWidth="1"/>
    <col min="11012" max="11012" width="9.7109375" style="395" customWidth="1"/>
    <col min="11013" max="11013" width="4.7109375" style="395" customWidth="1"/>
    <col min="11014" max="11014" width="9.7109375" style="395" customWidth="1"/>
    <col min="11015" max="11015" width="5.7109375" style="395" customWidth="1"/>
    <col min="11016" max="11016" width="10.7109375" style="395" customWidth="1"/>
    <col min="11017" max="11263" width="9.140625" style="395"/>
    <col min="11264" max="11264" width="39.5703125" style="395" customWidth="1"/>
    <col min="11265" max="11265" width="4.7109375" style="395" customWidth="1"/>
    <col min="11266" max="11266" width="9.7109375" style="395" customWidth="1"/>
    <col min="11267" max="11267" width="4.7109375" style="395" customWidth="1"/>
    <col min="11268" max="11268" width="9.7109375" style="395" customWidth="1"/>
    <col min="11269" max="11269" width="4.7109375" style="395" customWidth="1"/>
    <col min="11270" max="11270" width="9.7109375" style="395" customWidth="1"/>
    <col min="11271" max="11271" width="5.7109375" style="395" customWidth="1"/>
    <col min="11272" max="11272" width="10.7109375" style="395" customWidth="1"/>
    <col min="11273" max="11519" width="9.140625" style="395"/>
    <col min="11520" max="11520" width="39.5703125" style="395" customWidth="1"/>
    <col min="11521" max="11521" width="4.7109375" style="395" customWidth="1"/>
    <col min="11522" max="11522" width="9.7109375" style="395" customWidth="1"/>
    <col min="11523" max="11523" width="4.7109375" style="395" customWidth="1"/>
    <col min="11524" max="11524" width="9.7109375" style="395" customWidth="1"/>
    <col min="11525" max="11525" width="4.7109375" style="395" customWidth="1"/>
    <col min="11526" max="11526" width="9.7109375" style="395" customWidth="1"/>
    <col min="11527" max="11527" width="5.7109375" style="395" customWidth="1"/>
    <col min="11528" max="11528" width="10.7109375" style="395" customWidth="1"/>
    <col min="11529" max="11775" width="9.140625" style="395"/>
    <col min="11776" max="11776" width="39.5703125" style="395" customWidth="1"/>
    <col min="11777" max="11777" width="4.7109375" style="395" customWidth="1"/>
    <col min="11778" max="11778" width="9.7109375" style="395" customWidth="1"/>
    <col min="11779" max="11779" width="4.7109375" style="395" customWidth="1"/>
    <col min="11780" max="11780" width="9.7109375" style="395" customWidth="1"/>
    <col min="11781" max="11781" width="4.7109375" style="395" customWidth="1"/>
    <col min="11782" max="11782" width="9.7109375" style="395" customWidth="1"/>
    <col min="11783" max="11783" width="5.7109375" style="395" customWidth="1"/>
    <col min="11784" max="11784" width="10.7109375" style="395" customWidth="1"/>
    <col min="11785" max="12031" width="9.140625" style="395"/>
    <col min="12032" max="12032" width="39.5703125" style="395" customWidth="1"/>
    <col min="12033" max="12033" width="4.7109375" style="395" customWidth="1"/>
    <col min="12034" max="12034" width="9.7109375" style="395" customWidth="1"/>
    <col min="12035" max="12035" width="4.7109375" style="395" customWidth="1"/>
    <col min="12036" max="12036" width="9.7109375" style="395" customWidth="1"/>
    <col min="12037" max="12037" width="4.7109375" style="395" customWidth="1"/>
    <col min="12038" max="12038" width="9.7109375" style="395" customWidth="1"/>
    <col min="12039" max="12039" width="5.7109375" style="395" customWidth="1"/>
    <col min="12040" max="12040" width="10.7109375" style="395" customWidth="1"/>
    <col min="12041" max="12287" width="9.140625" style="395"/>
    <col min="12288" max="12288" width="39.5703125" style="395" customWidth="1"/>
    <col min="12289" max="12289" width="4.7109375" style="395" customWidth="1"/>
    <col min="12290" max="12290" width="9.7109375" style="395" customWidth="1"/>
    <col min="12291" max="12291" width="4.7109375" style="395" customWidth="1"/>
    <col min="12292" max="12292" width="9.7109375" style="395" customWidth="1"/>
    <col min="12293" max="12293" width="4.7109375" style="395" customWidth="1"/>
    <col min="12294" max="12294" width="9.7109375" style="395" customWidth="1"/>
    <col min="12295" max="12295" width="5.7109375" style="395" customWidth="1"/>
    <col min="12296" max="12296" width="10.7109375" style="395" customWidth="1"/>
    <col min="12297" max="12543" width="9.140625" style="395"/>
    <col min="12544" max="12544" width="39.5703125" style="395" customWidth="1"/>
    <col min="12545" max="12545" width="4.7109375" style="395" customWidth="1"/>
    <col min="12546" max="12546" width="9.7109375" style="395" customWidth="1"/>
    <col min="12547" max="12547" width="4.7109375" style="395" customWidth="1"/>
    <col min="12548" max="12548" width="9.7109375" style="395" customWidth="1"/>
    <col min="12549" max="12549" width="4.7109375" style="395" customWidth="1"/>
    <col min="12550" max="12550" width="9.7109375" style="395" customWidth="1"/>
    <col min="12551" max="12551" width="5.7109375" style="395" customWidth="1"/>
    <col min="12552" max="12552" width="10.7109375" style="395" customWidth="1"/>
    <col min="12553" max="12799" width="9.140625" style="395"/>
    <col min="12800" max="12800" width="39.5703125" style="395" customWidth="1"/>
    <col min="12801" max="12801" width="4.7109375" style="395" customWidth="1"/>
    <col min="12802" max="12802" width="9.7109375" style="395" customWidth="1"/>
    <col min="12803" max="12803" width="4.7109375" style="395" customWidth="1"/>
    <col min="12804" max="12804" width="9.7109375" style="395" customWidth="1"/>
    <col min="12805" max="12805" width="4.7109375" style="395" customWidth="1"/>
    <col min="12806" max="12806" width="9.7109375" style="395" customWidth="1"/>
    <col min="12807" max="12807" width="5.7109375" style="395" customWidth="1"/>
    <col min="12808" max="12808" width="10.7109375" style="395" customWidth="1"/>
    <col min="12809" max="13055" width="9.140625" style="395"/>
    <col min="13056" max="13056" width="39.5703125" style="395" customWidth="1"/>
    <col min="13057" max="13057" width="4.7109375" style="395" customWidth="1"/>
    <col min="13058" max="13058" width="9.7109375" style="395" customWidth="1"/>
    <col min="13059" max="13059" width="4.7109375" style="395" customWidth="1"/>
    <col min="13060" max="13060" width="9.7109375" style="395" customWidth="1"/>
    <col min="13061" max="13061" width="4.7109375" style="395" customWidth="1"/>
    <col min="13062" max="13062" width="9.7109375" style="395" customWidth="1"/>
    <col min="13063" max="13063" width="5.7109375" style="395" customWidth="1"/>
    <col min="13064" max="13064" width="10.7109375" style="395" customWidth="1"/>
    <col min="13065" max="13311" width="9.140625" style="395"/>
    <col min="13312" max="13312" width="39.5703125" style="395" customWidth="1"/>
    <col min="13313" max="13313" width="4.7109375" style="395" customWidth="1"/>
    <col min="13314" max="13314" width="9.7109375" style="395" customWidth="1"/>
    <col min="13315" max="13315" width="4.7109375" style="395" customWidth="1"/>
    <col min="13316" max="13316" width="9.7109375" style="395" customWidth="1"/>
    <col min="13317" max="13317" width="4.7109375" style="395" customWidth="1"/>
    <col min="13318" max="13318" width="9.7109375" style="395" customWidth="1"/>
    <col min="13319" max="13319" width="5.7109375" style="395" customWidth="1"/>
    <col min="13320" max="13320" width="10.7109375" style="395" customWidth="1"/>
    <col min="13321" max="13567" width="9.140625" style="395"/>
    <col min="13568" max="13568" width="39.5703125" style="395" customWidth="1"/>
    <col min="13569" max="13569" width="4.7109375" style="395" customWidth="1"/>
    <col min="13570" max="13570" width="9.7109375" style="395" customWidth="1"/>
    <col min="13571" max="13571" width="4.7109375" style="395" customWidth="1"/>
    <col min="13572" max="13572" width="9.7109375" style="395" customWidth="1"/>
    <col min="13573" max="13573" width="4.7109375" style="395" customWidth="1"/>
    <col min="13574" max="13574" width="9.7109375" style="395" customWidth="1"/>
    <col min="13575" max="13575" width="5.7109375" style="395" customWidth="1"/>
    <col min="13576" max="13576" width="10.7109375" style="395" customWidth="1"/>
    <col min="13577" max="13823" width="9.140625" style="395"/>
    <col min="13824" max="13824" width="39.5703125" style="395" customWidth="1"/>
    <col min="13825" max="13825" width="4.7109375" style="395" customWidth="1"/>
    <col min="13826" max="13826" width="9.7109375" style="395" customWidth="1"/>
    <col min="13827" max="13827" width="4.7109375" style="395" customWidth="1"/>
    <col min="13828" max="13828" width="9.7109375" style="395" customWidth="1"/>
    <col min="13829" max="13829" width="4.7109375" style="395" customWidth="1"/>
    <col min="13830" max="13830" width="9.7109375" style="395" customWidth="1"/>
    <col min="13831" max="13831" width="5.7109375" style="395" customWidth="1"/>
    <col min="13832" max="13832" width="10.7109375" style="395" customWidth="1"/>
    <col min="13833" max="14079" width="9.140625" style="395"/>
    <col min="14080" max="14080" width="39.5703125" style="395" customWidth="1"/>
    <col min="14081" max="14081" width="4.7109375" style="395" customWidth="1"/>
    <col min="14082" max="14082" width="9.7109375" style="395" customWidth="1"/>
    <col min="14083" max="14083" width="4.7109375" style="395" customWidth="1"/>
    <col min="14084" max="14084" width="9.7109375" style="395" customWidth="1"/>
    <col min="14085" max="14085" width="4.7109375" style="395" customWidth="1"/>
    <col min="14086" max="14086" width="9.7109375" style="395" customWidth="1"/>
    <col min="14087" max="14087" width="5.7109375" style="395" customWidth="1"/>
    <col min="14088" max="14088" width="10.7109375" style="395" customWidth="1"/>
    <col min="14089" max="14335" width="9.140625" style="395"/>
    <col min="14336" max="14336" width="39.5703125" style="395" customWidth="1"/>
    <col min="14337" max="14337" width="4.7109375" style="395" customWidth="1"/>
    <col min="14338" max="14338" width="9.7109375" style="395" customWidth="1"/>
    <col min="14339" max="14339" width="4.7109375" style="395" customWidth="1"/>
    <col min="14340" max="14340" width="9.7109375" style="395" customWidth="1"/>
    <col min="14341" max="14341" width="4.7109375" style="395" customWidth="1"/>
    <col min="14342" max="14342" width="9.7109375" style="395" customWidth="1"/>
    <col min="14343" max="14343" width="5.7109375" style="395" customWidth="1"/>
    <col min="14344" max="14344" width="10.7109375" style="395" customWidth="1"/>
    <col min="14345" max="14591" width="9.140625" style="395"/>
    <col min="14592" max="14592" width="39.5703125" style="395" customWidth="1"/>
    <col min="14593" max="14593" width="4.7109375" style="395" customWidth="1"/>
    <col min="14594" max="14594" width="9.7109375" style="395" customWidth="1"/>
    <col min="14595" max="14595" width="4.7109375" style="395" customWidth="1"/>
    <col min="14596" max="14596" width="9.7109375" style="395" customWidth="1"/>
    <col min="14597" max="14597" width="4.7109375" style="395" customWidth="1"/>
    <col min="14598" max="14598" width="9.7109375" style="395" customWidth="1"/>
    <col min="14599" max="14599" width="5.7109375" style="395" customWidth="1"/>
    <col min="14600" max="14600" width="10.7109375" style="395" customWidth="1"/>
    <col min="14601" max="14847" width="9.140625" style="395"/>
    <col min="14848" max="14848" width="39.5703125" style="395" customWidth="1"/>
    <col min="14849" max="14849" width="4.7109375" style="395" customWidth="1"/>
    <col min="14850" max="14850" width="9.7109375" style="395" customWidth="1"/>
    <col min="14851" max="14851" width="4.7109375" style="395" customWidth="1"/>
    <col min="14852" max="14852" width="9.7109375" style="395" customWidth="1"/>
    <col min="14853" max="14853" width="4.7109375" style="395" customWidth="1"/>
    <col min="14854" max="14854" width="9.7109375" style="395" customWidth="1"/>
    <col min="14855" max="14855" width="5.7109375" style="395" customWidth="1"/>
    <col min="14856" max="14856" width="10.7109375" style="395" customWidth="1"/>
    <col min="14857" max="15103" width="9.140625" style="395"/>
    <col min="15104" max="15104" width="39.5703125" style="395" customWidth="1"/>
    <col min="15105" max="15105" width="4.7109375" style="395" customWidth="1"/>
    <col min="15106" max="15106" width="9.7109375" style="395" customWidth="1"/>
    <col min="15107" max="15107" width="4.7109375" style="395" customWidth="1"/>
    <col min="15108" max="15108" width="9.7109375" style="395" customWidth="1"/>
    <col min="15109" max="15109" width="4.7109375" style="395" customWidth="1"/>
    <col min="15110" max="15110" width="9.7109375" style="395" customWidth="1"/>
    <col min="15111" max="15111" width="5.7109375" style="395" customWidth="1"/>
    <col min="15112" max="15112" width="10.7109375" style="395" customWidth="1"/>
    <col min="15113" max="15359" width="9.140625" style="395"/>
    <col min="15360" max="15360" width="39.5703125" style="395" customWidth="1"/>
    <col min="15361" max="15361" width="4.7109375" style="395" customWidth="1"/>
    <col min="15362" max="15362" width="9.7109375" style="395" customWidth="1"/>
    <col min="15363" max="15363" width="4.7109375" style="395" customWidth="1"/>
    <col min="15364" max="15364" width="9.7109375" style="395" customWidth="1"/>
    <col min="15365" max="15365" width="4.7109375" style="395" customWidth="1"/>
    <col min="15366" max="15366" width="9.7109375" style="395" customWidth="1"/>
    <col min="15367" max="15367" width="5.7109375" style="395" customWidth="1"/>
    <col min="15368" max="15368" width="10.7109375" style="395" customWidth="1"/>
    <col min="15369" max="15615" width="9.140625" style="395"/>
    <col min="15616" max="15616" width="39.5703125" style="395" customWidth="1"/>
    <col min="15617" max="15617" width="4.7109375" style="395" customWidth="1"/>
    <col min="15618" max="15618" width="9.7109375" style="395" customWidth="1"/>
    <col min="15619" max="15619" width="4.7109375" style="395" customWidth="1"/>
    <col min="15620" max="15620" width="9.7109375" style="395" customWidth="1"/>
    <col min="15621" max="15621" width="4.7109375" style="395" customWidth="1"/>
    <col min="15622" max="15622" width="9.7109375" style="395" customWidth="1"/>
    <col min="15623" max="15623" width="5.7109375" style="395" customWidth="1"/>
    <col min="15624" max="15624" width="10.7109375" style="395" customWidth="1"/>
    <col min="15625" max="15871" width="9.140625" style="395"/>
    <col min="15872" max="15872" width="39.5703125" style="395" customWidth="1"/>
    <col min="15873" max="15873" width="4.7109375" style="395" customWidth="1"/>
    <col min="15874" max="15874" width="9.7109375" style="395" customWidth="1"/>
    <col min="15875" max="15875" width="4.7109375" style="395" customWidth="1"/>
    <col min="15876" max="15876" width="9.7109375" style="395" customWidth="1"/>
    <col min="15877" max="15877" width="4.7109375" style="395" customWidth="1"/>
    <col min="15878" max="15878" width="9.7109375" style="395" customWidth="1"/>
    <col min="15879" max="15879" width="5.7109375" style="395" customWidth="1"/>
    <col min="15880" max="15880" width="10.7109375" style="395" customWidth="1"/>
    <col min="15881" max="16127" width="9.140625" style="395"/>
    <col min="16128" max="16128" width="39.5703125" style="395" customWidth="1"/>
    <col min="16129" max="16129" width="4.7109375" style="395" customWidth="1"/>
    <col min="16130" max="16130" width="9.7109375" style="395" customWidth="1"/>
    <col min="16131" max="16131" width="4.7109375" style="395" customWidth="1"/>
    <col min="16132" max="16132" width="9.7109375" style="395" customWidth="1"/>
    <col min="16133" max="16133" width="4.7109375" style="395" customWidth="1"/>
    <col min="16134" max="16134" width="9.7109375" style="395" customWidth="1"/>
    <col min="16135" max="16135" width="5.7109375" style="395" customWidth="1"/>
    <col min="16136" max="16136" width="10.7109375" style="395" customWidth="1"/>
    <col min="16137" max="16384" width="9.140625" style="395"/>
  </cols>
  <sheetData>
    <row r="1" spans="1:14" ht="17.25" x14ac:dyDescent="0.25">
      <c r="A1" s="1014" t="s">
        <v>887</v>
      </c>
      <c r="B1" s="1014"/>
      <c r="C1" s="1014"/>
      <c r="D1" s="1014"/>
      <c r="E1" s="1014"/>
      <c r="F1" s="1014"/>
      <c r="G1" s="1014"/>
      <c r="H1" s="1014"/>
      <c r="I1" s="1014"/>
    </row>
    <row r="2" spans="1:14" ht="17.25" x14ac:dyDescent="0.25">
      <c r="A2" s="1014" t="s">
        <v>888</v>
      </c>
      <c r="B2" s="1014"/>
      <c r="C2" s="1014"/>
      <c r="D2" s="1014"/>
      <c r="E2" s="1014"/>
      <c r="F2" s="1014"/>
      <c r="G2" s="1014"/>
      <c r="H2" s="1014"/>
      <c r="I2" s="1014"/>
    </row>
    <row r="3" spans="1:14" ht="18" customHeight="1" x14ac:dyDescent="0.25">
      <c r="A3" s="1018" t="s">
        <v>171</v>
      </c>
      <c r="B3" s="1018"/>
      <c r="C3" s="1018"/>
      <c r="D3" s="1018"/>
      <c r="E3" s="1018"/>
      <c r="F3" s="1018"/>
      <c r="G3" s="1018"/>
      <c r="H3" s="1018"/>
      <c r="I3" s="1018"/>
      <c r="J3" s="396"/>
    </row>
    <row r="4" spans="1:14" ht="18" customHeight="1" x14ac:dyDescent="0.25">
      <c r="A4" s="1019" t="s">
        <v>881</v>
      </c>
      <c r="B4" s="1019"/>
      <c r="C4" s="1019"/>
      <c r="D4" s="1019"/>
      <c r="E4" s="1019"/>
      <c r="F4" s="1019"/>
      <c r="G4" s="1019"/>
      <c r="H4" s="1019"/>
      <c r="I4" s="1019"/>
      <c r="J4" s="397"/>
    </row>
    <row r="5" spans="1:14" ht="18" customHeight="1" x14ac:dyDescent="0.25">
      <c r="A5" s="1019" t="s">
        <v>889</v>
      </c>
      <c r="B5" s="1019"/>
      <c r="C5" s="1019"/>
      <c r="D5" s="1019"/>
      <c r="E5" s="1019"/>
      <c r="F5" s="1019"/>
      <c r="G5" s="1019"/>
      <c r="H5" s="1019"/>
      <c r="I5" s="1019"/>
      <c r="J5" s="397"/>
    </row>
    <row r="6" spans="1:14" ht="18" customHeight="1" thickBot="1" x14ac:dyDescent="0.3">
      <c r="A6" s="1019" t="s">
        <v>883</v>
      </c>
      <c r="B6" s="1019"/>
      <c r="C6" s="1019"/>
      <c r="D6" s="1019"/>
      <c r="E6" s="1019"/>
      <c r="F6" s="1019"/>
      <c r="G6" s="1019"/>
      <c r="H6" s="1019"/>
      <c r="I6" s="1019"/>
      <c r="J6" s="397"/>
    </row>
    <row r="7" spans="1:14" ht="31.5" customHeight="1" x14ac:dyDescent="0.25">
      <c r="A7" s="562" t="s">
        <v>200</v>
      </c>
      <c r="B7" s="1020" t="s">
        <v>903</v>
      </c>
      <c r="C7" s="1021"/>
      <c r="D7" s="1021"/>
      <c r="E7" s="1021"/>
      <c r="F7" s="1021"/>
      <c r="G7" s="1021"/>
      <c r="H7" s="1021"/>
      <c r="I7" s="1022"/>
      <c r="J7" s="398"/>
    </row>
    <row r="8" spans="1:14" ht="17.25" customHeight="1" x14ac:dyDescent="0.25">
      <c r="A8" s="1031" t="s">
        <v>886</v>
      </c>
      <c r="B8" s="1032"/>
      <c r="C8" s="1032"/>
      <c r="D8" s="1032"/>
      <c r="E8" s="1032"/>
      <c r="F8" s="1032"/>
      <c r="G8" s="1032"/>
      <c r="H8" s="1032"/>
      <c r="I8" s="1033"/>
      <c r="J8" s="399"/>
    </row>
    <row r="9" spans="1:14" ht="6.75" customHeight="1" x14ac:dyDescent="0.25">
      <c r="A9" s="613"/>
      <c r="B9" s="618"/>
      <c r="C9" s="618"/>
      <c r="D9" s="618"/>
      <c r="E9" s="618"/>
      <c r="F9" s="618"/>
      <c r="G9" s="618"/>
      <c r="H9" s="618"/>
      <c r="I9" s="563"/>
      <c r="J9" s="399"/>
    </row>
    <row r="10" spans="1:14" ht="18" customHeight="1" x14ac:dyDescent="0.25">
      <c r="A10" s="1031" t="s">
        <v>293</v>
      </c>
      <c r="B10" s="1032"/>
      <c r="C10" s="1032"/>
      <c r="D10" s="1032"/>
      <c r="E10" s="1032"/>
      <c r="F10" s="1032"/>
      <c r="G10" s="1032"/>
      <c r="H10" s="1032"/>
      <c r="I10" s="1033"/>
      <c r="J10" s="400"/>
    </row>
    <row r="11" spans="1:14" ht="36" x14ac:dyDescent="0.25">
      <c r="A11" s="614" t="s">
        <v>250</v>
      </c>
      <c r="B11" s="610" t="s">
        <v>597</v>
      </c>
      <c r="C11" s="430" t="s">
        <v>598</v>
      </c>
      <c r="D11" s="430" t="s">
        <v>599</v>
      </c>
      <c r="E11" s="430" t="s">
        <v>600</v>
      </c>
      <c r="F11" s="430" t="s">
        <v>601</v>
      </c>
      <c r="G11" s="431" t="s">
        <v>604</v>
      </c>
      <c r="H11" s="431" t="s">
        <v>602</v>
      </c>
      <c r="I11" s="564" t="s">
        <v>603</v>
      </c>
      <c r="N11" s="401"/>
    </row>
    <row r="12" spans="1:14" hidden="1" x14ac:dyDescent="0.25">
      <c r="A12" s="565" t="s">
        <v>255</v>
      </c>
      <c r="B12" s="402" t="s">
        <v>306</v>
      </c>
      <c r="C12" s="403">
        <f>'Pes. Admin.'!C12</f>
        <v>0</v>
      </c>
      <c r="D12" s="404">
        <f>'Pes. Admin.'!E12</f>
        <v>12</v>
      </c>
      <c r="E12" s="432">
        <f>'Pes. Admin.'!F12</f>
        <v>83.720635000000001</v>
      </c>
      <c r="F12" s="433">
        <f>E12*D12*C12</f>
        <v>0</v>
      </c>
      <c r="G12" s="405">
        <f>'Pes. Admin.'!L12</f>
        <v>0</v>
      </c>
      <c r="H12" s="405">
        <f>'Pes. Admin.'!K12</f>
        <v>0</v>
      </c>
      <c r="I12" s="566">
        <f>F12+G12+H12</f>
        <v>0</v>
      </c>
    </row>
    <row r="13" spans="1:14" x14ac:dyDescent="0.25">
      <c r="A13" s="565" t="s">
        <v>257</v>
      </c>
      <c r="B13" s="402" t="s">
        <v>286</v>
      </c>
      <c r="C13" s="404">
        <f>'Pes. Admin.'!C13</f>
        <v>24</v>
      </c>
      <c r="D13" s="404">
        <f>'Pes. Admin.'!E13</f>
        <v>12</v>
      </c>
      <c r="E13" s="432">
        <f>'Pes. Admin.'!F13</f>
        <v>94.151099999999985</v>
      </c>
      <c r="F13" s="433">
        <f>E13*D13*C13</f>
        <v>27115.516799999998</v>
      </c>
      <c r="G13" s="405">
        <f>'Pes. Admin.'!L13</f>
        <v>538.55999999999995</v>
      </c>
      <c r="H13" s="405">
        <f>'Pes. Admin.'!K13</f>
        <v>417.59999999999997</v>
      </c>
      <c r="I13" s="566">
        <f t="shared" ref="I13:I24" si="0">F13+G13+H13</f>
        <v>28071.676799999997</v>
      </c>
    </row>
    <row r="14" spans="1:14" hidden="1" x14ac:dyDescent="0.25">
      <c r="A14" s="565" t="s">
        <v>259</v>
      </c>
      <c r="B14" s="402" t="s">
        <v>284</v>
      </c>
      <c r="C14" s="403">
        <f>'Pes. Admin.'!C14</f>
        <v>0</v>
      </c>
      <c r="D14" s="404">
        <f>'Pes. Admin.'!E14</f>
        <v>12</v>
      </c>
      <c r="E14" s="432">
        <f>'Pes. Admin.'!F14</f>
        <v>94.151099999999985</v>
      </c>
      <c r="F14" s="433">
        <f>C14*D14*E14</f>
        <v>0</v>
      </c>
      <c r="G14" s="405">
        <f>'Pes. Admin.'!L14</f>
        <v>0</v>
      </c>
      <c r="H14" s="405">
        <f>'Pes. Admin.'!K14</f>
        <v>0</v>
      </c>
      <c r="I14" s="566">
        <f t="shared" si="0"/>
        <v>0</v>
      </c>
    </row>
    <row r="15" spans="1:14" hidden="1" x14ac:dyDescent="0.25">
      <c r="A15" s="565" t="s">
        <v>307</v>
      </c>
      <c r="B15" s="406" t="s">
        <v>230</v>
      </c>
      <c r="C15" s="403">
        <f>'Pes. Admin.'!C15</f>
        <v>0</v>
      </c>
      <c r="D15" s="404">
        <f>'Pes. Admin.'!E15</f>
        <v>12</v>
      </c>
      <c r="E15" s="432">
        <f>'Pes. Admin.'!F15</f>
        <v>122.39643000000001</v>
      </c>
      <c r="F15" s="433">
        <f>E15*D15*C15</f>
        <v>0</v>
      </c>
      <c r="G15" s="405">
        <f>'Pes. Admin.'!L15</f>
        <v>0</v>
      </c>
      <c r="H15" s="405">
        <f>'Pes. Admin.'!K15</f>
        <v>0</v>
      </c>
      <c r="I15" s="566">
        <f t="shared" si="0"/>
        <v>0</v>
      </c>
    </row>
    <row r="16" spans="1:14" hidden="1" x14ac:dyDescent="0.25">
      <c r="A16" s="565" t="s">
        <v>308</v>
      </c>
      <c r="B16" s="402" t="s">
        <v>190</v>
      </c>
      <c r="C16" s="403">
        <f>'Pes. Admin.'!C16</f>
        <v>0</v>
      </c>
      <c r="D16" s="404">
        <f>'Pes. Admin.'!E16</f>
        <v>12</v>
      </c>
      <c r="E16" s="432">
        <f>'Pes. Admin.'!G16</f>
        <v>35.448</v>
      </c>
      <c r="F16" s="433">
        <f>C16*D16*E16</f>
        <v>0</v>
      </c>
      <c r="G16" s="405">
        <f>'Pes. Admin.'!L16</f>
        <v>0</v>
      </c>
      <c r="H16" s="405">
        <f>'Pes. Admin.'!K16</f>
        <v>0</v>
      </c>
      <c r="I16" s="566">
        <f t="shared" si="0"/>
        <v>0</v>
      </c>
    </row>
    <row r="17" spans="1:14" hidden="1" x14ac:dyDescent="0.25">
      <c r="A17" s="565" t="s">
        <v>309</v>
      </c>
      <c r="B17" s="406" t="s">
        <v>191</v>
      </c>
      <c r="C17" s="403">
        <f>'Pes. Admin.'!C17</f>
        <v>0</v>
      </c>
      <c r="D17" s="404">
        <f>'Pes. Admin.'!E17</f>
        <v>12</v>
      </c>
      <c r="E17" s="433">
        <f>'Pes. Admin.'!G17</f>
        <v>35.448</v>
      </c>
      <c r="F17" s="433">
        <f>E17*D17*C17</f>
        <v>0</v>
      </c>
      <c r="G17" s="405">
        <f>'Pes. Admin.'!L17</f>
        <v>0</v>
      </c>
      <c r="H17" s="405">
        <f>'Pes. Admin.'!K17</f>
        <v>0</v>
      </c>
      <c r="I17" s="566">
        <f t="shared" si="0"/>
        <v>0</v>
      </c>
    </row>
    <row r="18" spans="1:14" hidden="1" x14ac:dyDescent="0.25">
      <c r="A18" s="565" t="s">
        <v>310</v>
      </c>
      <c r="B18" s="406" t="s">
        <v>192</v>
      </c>
      <c r="C18" s="403">
        <f>'Pes. Admin.'!C18</f>
        <v>0</v>
      </c>
      <c r="D18" s="404">
        <f>'Pes. Admin.'!E18</f>
        <v>12</v>
      </c>
      <c r="E18" s="433">
        <f>'Pes. Admin.'!G18</f>
        <v>26.586000000000002</v>
      </c>
      <c r="F18" s="433">
        <f>E18*D18*C18</f>
        <v>0</v>
      </c>
      <c r="G18" s="405">
        <f>'Pes. Admin.'!L18</f>
        <v>0</v>
      </c>
      <c r="H18" s="405">
        <f>'Pes. Admin.'!K18</f>
        <v>0</v>
      </c>
      <c r="I18" s="566">
        <f t="shared" si="0"/>
        <v>0</v>
      </c>
      <c r="L18" s="407"/>
      <c r="M18" s="401"/>
      <c r="N18" s="401"/>
    </row>
    <row r="19" spans="1:14" hidden="1" x14ac:dyDescent="0.25">
      <c r="A19" s="565" t="s">
        <v>894</v>
      </c>
      <c r="B19" s="406" t="s">
        <v>193</v>
      </c>
      <c r="C19" s="403">
        <f>'Pes. Admin.'!C19</f>
        <v>0</v>
      </c>
      <c r="D19" s="404">
        <f>'Pes. Admin.'!E19</f>
        <v>12</v>
      </c>
      <c r="E19" s="433">
        <f>'Pes. Admin.'!F13</f>
        <v>94.151099999999985</v>
      </c>
      <c r="F19" s="433">
        <f>C19*D19*E19</f>
        <v>0</v>
      </c>
      <c r="G19" s="405">
        <f>'Pes. Admin.'!L19</f>
        <v>0</v>
      </c>
      <c r="H19" s="405">
        <f>'Pes. Admin.'!K19</f>
        <v>0</v>
      </c>
      <c r="I19" s="566">
        <f t="shared" si="0"/>
        <v>0</v>
      </c>
    </row>
    <row r="20" spans="1:14" hidden="1" x14ac:dyDescent="0.25">
      <c r="A20" s="565" t="s">
        <v>311</v>
      </c>
      <c r="B20" s="406" t="s">
        <v>2</v>
      </c>
      <c r="C20" s="403">
        <f>'Pes. Admin.'!C20</f>
        <v>0</v>
      </c>
      <c r="D20" s="404">
        <f>'Pes. Admin.'!E20</f>
        <v>12</v>
      </c>
      <c r="E20" s="433">
        <f>'Pes. Admin.'!G20</f>
        <v>12.362489999999999</v>
      </c>
      <c r="F20" s="433">
        <f t="shared" ref="F20:F24" si="1">C20*D20*E20</f>
        <v>0</v>
      </c>
      <c r="G20" s="405">
        <f>'Pes. Admin.'!L20</f>
        <v>0</v>
      </c>
      <c r="H20" s="405">
        <f>'Pes. Admin.'!K20</f>
        <v>0</v>
      </c>
      <c r="I20" s="566">
        <f t="shared" si="0"/>
        <v>0</v>
      </c>
    </row>
    <row r="21" spans="1:14" hidden="1" x14ac:dyDescent="0.25">
      <c r="A21" s="565" t="s">
        <v>312</v>
      </c>
      <c r="B21" s="406" t="s">
        <v>194</v>
      </c>
      <c r="C21" s="403">
        <f>'Pes. Admin.'!C21</f>
        <v>0</v>
      </c>
      <c r="D21" s="404">
        <f>'Pes. Admin.'!E21</f>
        <v>12</v>
      </c>
      <c r="E21" s="433">
        <f>'Pes. Admin.'!G21</f>
        <v>9.2164800000000007</v>
      </c>
      <c r="F21" s="433">
        <f t="shared" si="1"/>
        <v>0</v>
      </c>
      <c r="G21" s="405">
        <f>'Pes. Admin.'!L21</f>
        <v>0</v>
      </c>
      <c r="H21" s="405">
        <f>'Pes. Admin.'!K21</f>
        <v>0</v>
      </c>
      <c r="I21" s="566">
        <f t="shared" si="0"/>
        <v>0</v>
      </c>
    </row>
    <row r="22" spans="1:14" hidden="1" x14ac:dyDescent="0.25">
      <c r="A22" s="565" t="s">
        <v>313</v>
      </c>
      <c r="B22" s="406" t="s">
        <v>1</v>
      </c>
      <c r="C22" s="403">
        <f>'Pes. Admin.'!C22</f>
        <v>0</v>
      </c>
      <c r="D22" s="404">
        <f>'Pes. Admin.'!E22</f>
        <v>12</v>
      </c>
      <c r="E22" s="433">
        <f>'Pes. Admin.'!G22</f>
        <v>8.7408860000000015</v>
      </c>
      <c r="F22" s="433">
        <f t="shared" si="1"/>
        <v>0</v>
      </c>
      <c r="G22" s="405">
        <f>'Pes. Admin.'!L22</f>
        <v>0</v>
      </c>
      <c r="H22" s="405">
        <f>'Pes. Admin.'!K22</f>
        <v>0</v>
      </c>
      <c r="I22" s="566">
        <f t="shared" si="0"/>
        <v>0</v>
      </c>
    </row>
    <row r="23" spans="1:14" hidden="1" x14ac:dyDescent="0.25">
      <c r="A23" s="565" t="s">
        <v>314</v>
      </c>
      <c r="B23" s="406" t="s">
        <v>242</v>
      </c>
      <c r="C23" s="403">
        <f>'Pes. Admin.'!C23</f>
        <v>0</v>
      </c>
      <c r="D23" s="404">
        <f>'Pes. Admin.'!E23</f>
        <v>12</v>
      </c>
      <c r="E23" s="433">
        <f>'Pes. Admin.'!G23</f>
        <v>0</v>
      </c>
      <c r="F23" s="433">
        <f t="shared" si="1"/>
        <v>0</v>
      </c>
      <c r="G23" s="405">
        <f>'Pes. Admin.'!L23</f>
        <v>0</v>
      </c>
      <c r="H23" s="405">
        <f>'Pes. Admin.'!K23</f>
        <v>0</v>
      </c>
      <c r="I23" s="566">
        <f t="shared" si="0"/>
        <v>0</v>
      </c>
    </row>
    <row r="24" spans="1:14" hidden="1" x14ac:dyDescent="0.25">
      <c r="A24" s="565" t="s">
        <v>315</v>
      </c>
      <c r="B24" s="408" t="s">
        <v>243</v>
      </c>
      <c r="C24" s="403">
        <f>'Pes. Admin.'!C24</f>
        <v>0</v>
      </c>
      <c r="D24" s="404">
        <f>'Pes. Admin.'!E24</f>
        <v>12</v>
      </c>
      <c r="E24" s="419">
        <f>'Pes. Admin.'!G24</f>
        <v>0</v>
      </c>
      <c r="F24" s="433">
        <f t="shared" si="1"/>
        <v>0</v>
      </c>
      <c r="G24" s="405">
        <f>'Pes. Admin.'!L24</f>
        <v>0</v>
      </c>
      <c r="H24" s="405">
        <f>'Pes. Admin.'!K24</f>
        <v>0</v>
      </c>
      <c r="I24" s="566">
        <f t="shared" si="0"/>
        <v>0</v>
      </c>
    </row>
    <row r="25" spans="1:14" x14ac:dyDescent="0.25">
      <c r="A25" s="1034" t="s">
        <v>316</v>
      </c>
      <c r="B25" s="1035"/>
      <c r="C25" s="1035"/>
      <c r="D25" s="1035"/>
      <c r="E25" s="1035"/>
      <c r="F25" s="434">
        <f>SUM(F12:F24)</f>
        <v>27115.516799999998</v>
      </c>
      <c r="G25" s="434">
        <f>SUM(G12:G24)</f>
        <v>538.55999999999995</v>
      </c>
      <c r="H25" s="434">
        <f>SUM(H12:H24)</f>
        <v>417.59999999999997</v>
      </c>
      <c r="I25" s="567">
        <f>SUM(I12:I24)</f>
        <v>28071.676799999997</v>
      </c>
      <c r="J25" s="409"/>
    </row>
    <row r="26" spans="1:14" x14ac:dyDescent="0.25">
      <c r="A26" s="1023"/>
      <c r="B26" s="1024"/>
      <c r="C26" s="1024"/>
      <c r="D26" s="1024"/>
      <c r="E26" s="1024"/>
      <c r="F26" s="1024"/>
      <c r="G26" s="1024"/>
      <c r="H26" s="619"/>
      <c r="I26" s="568"/>
      <c r="K26" s="410"/>
    </row>
    <row r="27" spans="1:14" ht="18" customHeight="1" x14ac:dyDescent="0.25">
      <c r="A27" s="1029" t="s">
        <v>444</v>
      </c>
      <c r="B27" s="1030"/>
      <c r="C27" s="1030"/>
      <c r="D27" s="1030"/>
      <c r="E27" s="1030"/>
      <c r="F27" s="1030"/>
      <c r="G27" s="1030"/>
      <c r="H27" s="620"/>
      <c r="I27" s="569"/>
    </row>
    <row r="28" spans="1:14" ht="37.5" customHeight="1" x14ac:dyDescent="0.25">
      <c r="A28" s="570" t="s">
        <v>250</v>
      </c>
      <c r="B28" s="611" t="s">
        <v>196</v>
      </c>
      <c r="C28" s="611" t="s">
        <v>504</v>
      </c>
      <c r="D28" s="411" t="s">
        <v>605</v>
      </c>
      <c r="E28" s="411" t="s">
        <v>509</v>
      </c>
      <c r="F28" s="412" t="s">
        <v>606</v>
      </c>
      <c r="G28" s="412" t="s">
        <v>607</v>
      </c>
      <c r="H28" s="621"/>
      <c r="I28" s="569"/>
    </row>
    <row r="29" spans="1:14" ht="15" customHeight="1" x14ac:dyDescent="0.25">
      <c r="A29" s="571" t="s">
        <v>262</v>
      </c>
      <c r="B29" s="413" t="s">
        <v>213</v>
      </c>
      <c r="C29" s="443" t="s">
        <v>319</v>
      </c>
      <c r="D29" s="443">
        <v>1</v>
      </c>
      <c r="E29" s="414">
        <f>SESMT!E7</f>
        <v>12</v>
      </c>
      <c r="F29" s="415">
        <f>SESMT!F7</f>
        <v>94.151099999999985</v>
      </c>
      <c r="G29" s="415">
        <f>D29*E29*F29</f>
        <v>1129.8131999999998</v>
      </c>
      <c r="H29" s="622"/>
      <c r="I29" s="569"/>
    </row>
    <row r="30" spans="1:14" ht="15" customHeight="1" x14ac:dyDescent="0.25">
      <c r="A30" s="571" t="s">
        <v>264</v>
      </c>
      <c r="B30" s="413" t="s">
        <v>321</v>
      </c>
      <c r="C30" s="443" t="s">
        <v>319</v>
      </c>
      <c r="D30" s="443">
        <f>SESMT!D8</f>
        <v>0</v>
      </c>
      <c r="E30" s="414">
        <f>SESMT!E8</f>
        <v>12</v>
      </c>
      <c r="F30" s="415">
        <f>SESMT!F8</f>
        <v>94.151099999999985</v>
      </c>
      <c r="G30" s="415">
        <f>D30*E30*F30</f>
        <v>0</v>
      </c>
      <c r="H30" s="622"/>
      <c r="I30" s="569"/>
    </row>
    <row r="31" spans="1:14" ht="15" customHeight="1" x14ac:dyDescent="0.25">
      <c r="A31" s="571" t="s">
        <v>265</v>
      </c>
      <c r="B31" s="413" t="s">
        <v>323</v>
      </c>
      <c r="C31" s="443" t="s">
        <v>319</v>
      </c>
      <c r="D31" s="443">
        <v>0</v>
      </c>
      <c r="E31" s="414">
        <f>SESMT!E9</f>
        <v>12</v>
      </c>
      <c r="F31" s="415">
        <f>SESMT!G9</f>
        <v>35.448</v>
      </c>
      <c r="G31" s="415">
        <f>D31*E31*F31</f>
        <v>0</v>
      </c>
      <c r="H31" s="622"/>
      <c r="I31" s="569"/>
    </row>
    <row r="32" spans="1:14" ht="15" customHeight="1" x14ac:dyDescent="0.25">
      <c r="A32" s="1036" t="s">
        <v>324</v>
      </c>
      <c r="B32" s="1037"/>
      <c r="C32" s="1037"/>
      <c r="D32" s="1037"/>
      <c r="E32" s="1037"/>
      <c r="F32" s="1037"/>
      <c r="G32" s="444">
        <f>SUM(G29:G31)</f>
        <v>1129.8131999999998</v>
      </c>
      <c r="H32" s="623"/>
      <c r="I32" s="569"/>
    </row>
    <row r="33" spans="1:9" ht="15" customHeight="1" x14ac:dyDescent="0.25">
      <c r="A33" s="572" t="s">
        <v>250</v>
      </c>
      <c r="B33" s="436" t="s">
        <v>608</v>
      </c>
      <c r="C33" s="1038" t="s">
        <v>609</v>
      </c>
      <c r="D33" s="1038"/>
      <c r="E33" s="437"/>
      <c r="F33" s="438"/>
      <c r="G33" s="439"/>
      <c r="H33" s="624"/>
      <c r="I33" s="569"/>
    </row>
    <row r="34" spans="1:9" ht="15" customHeight="1" x14ac:dyDescent="0.25">
      <c r="A34" s="573" t="s">
        <v>266</v>
      </c>
      <c r="B34" s="417" t="s">
        <v>892</v>
      </c>
      <c r="C34" s="1039">
        <f>SESMT!I20</f>
        <v>1500</v>
      </c>
      <c r="D34" s="1039"/>
      <c r="E34" s="440"/>
      <c r="F34" s="625"/>
      <c r="G34" s="441"/>
      <c r="H34" s="625"/>
      <c r="I34" s="569"/>
    </row>
    <row r="35" spans="1:9" x14ac:dyDescent="0.25">
      <c r="A35" s="573" t="s">
        <v>269</v>
      </c>
      <c r="B35" s="417" t="s">
        <v>218</v>
      </c>
      <c r="C35" s="1025">
        <f>SESMT!I21</f>
        <v>1500</v>
      </c>
      <c r="D35" s="1025"/>
      <c r="E35" s="1040"/>
      <c r="F35" s="1041"/>
      <c r="G35" s="442"/>
      <c r="H35" s="626"/>
      <c r="I35" s="569"/>
    </row>
    <row r="36" spans="1:9" ht="15" customHeight="1" x14ac:dyDescent="0.25">
      <c r="A36" s="573" t="s">
        <v>271</v>
      </c>
      <c r="B36" s="417" t="s">
        <v>219</v>
      </c>
      <c r="C36" s="1025">
        <f>SESMT!I22</f>
        <v>0</v>
      </c>
      <c r="D36" s="1025"/>
      <c r="E36" s="1026"/>
      <c r="F36" s="1027"/>
      <c r="G36" s="1028"/>
      <c r="H36" s="627"/>
      <c r="I36" s="569"/>
    </row>
    <row r="37" spans="1:9" ht="15" customHeight="1" x14ac:dyDescent="0.25">
      <c r="A37" s="573" t="s">
        <v>325</v>
      </c>
      <c r="B37" s="417" t="s">
        <v>227</v>
      </c>
      <c r="C37" s="1025">
        <f>SESMT!J27</f>
        <v>0</v>
      </c>
      <c r="D37" s="1025"/>
      <c r="E37" s="1042"/>
      <c r="F37" s="1043"/>
      <c r="G37" s="1046"/>
      <c r="H37" s="628"/>
      <c r="I37" s="569"/>
    </row>
    <row r="38" spans="1:9" ht="15" customHeight="1" x14ac:dyDescent="0.25">
      <c r="A38" s="1048" t="s">
        <v>326</v>
      </c>
      <c r="B38" s="1049"/>
      <c r="C38" s="1050">
        <f>C34+C35+C36+C37</f>
        <v>3000</v>
      </c>
      <c r="D38" s="1050"/>
      <c r="E38" s="1044"/>
      <c r="F38" s="1045"/>
      <c r="G38" s="1047"/>
      <c r="H38" s="629"/>
      <c r="I38" s="569"/>
    </row>
    <row r="39" spans="1:9" ht="18" customHeight="1" x14ac:dyDescent="0.25">
      <c r="A39" s="1051" t="s">
        <v>454</v>
      </c>
      <c r="B39" s="1052"/>
      <c r="C39" s="1052"/>
      <c r="D39" s="1052"/>
      <c r="E39" s="1052"/>
      <c r="F39" s="1052"/>
      <c r="G39" s="435">
        <f>G32+C38</f>
        <v>4129.8131999999996</v>
      </c>
      <c r="H39" s="630"/>
      <c r="I39" s="569"/>
    </row>
    <row r="40" spans="1:9" ht="6.75" customHeight="1" x14ac:dyDescent="0.25">
      <c r="A40" s="1057"/>
      <c r="B40" s="1058"/>
      <c r="C40" s="1058"/>
      <c r="D40" s="1058"/>
      <c r="E40" s="1058"/>
      <c r="F40" s="1058"/>
      <c r="G40" s="1058"/>
      <c r="H40" s="631"/>
      <c r="I40" s="569"/>
    </row>
    <row r="41" spans="1:9" ht="18" hidden="1" customHeight="1" x14ac:dyDescent="0.25">
      <c r="A41" s="1053" t="s">
        <v>445</v>
      </c>
      <c r="B41" s="1054"/>
      <c r="C41" s="1054"/>
      <c r="D41" s="1054"/>
      <c r="E41" s="1054"/>
      <c r="F41" s="1054"/>
      <c r="G41" s="1054"/>
      <c r="H41" s="632"/>
      <c r="I41" s="569"/>
    </row>
    <row r="42" spans="1:9" ht="30" hidden="1" customHeight="1" x14ac:dyDescent="0.25">
      <c r="A42" s="617" t="s">
        <v>610</v>
      </c>
      <c r="B42" s="632" t="s">
        <v>507</v>
      </c>
      <c r="C42" s="632" t="s">
        <v>504</v>
      </c>
      <c r="D42" s="632" t="s">
        <v>605</v>
      </c>
      <c r="E42" s="633" t="s">
        <v>611</v>
      </c>
      <c r="F42" s="1054" t="s">
        <v>612</v>
      </c>
      <c r="G42" s="1054"/>
      <c r="H42" s="634"/>
      <c r="I42" s="569"/>
    </row>
    <row r="43" spans="1:9" ht="15" hidden="1" customHeight="1" x14ac:dyDescent="0.25">
      <c r="A43" s="574" t="s">
        <v>446</v>
      </c>
      <c r="B43" s="635" t="s">
        <v>584</v>
      </c>
      <c r="C43" s="636" t="s">
        <v>327</v>
      </c>
      <c r="D43" s="637">
        <f>'Mat. Esc. Obra'!E9</f>
        <v>12</v>
      </c>
      <c r="E43" s="638">
        <f>'Mat. Esc. Obra'!I9</f>
        <v>0</v>
      </c>
      <c r="F43" s="1055">
        <f>D43*E43</f>
        <v>0</v>
      </c>
      <c r="G43" s="1055"/>
      <c r="H43" s="638"/>
      <c r="I43" s="569"/>
    </row>
    <row r="44" spans="1:9" ht="15" hidden="1" customHeight="1" x14ac:dyDescent="0.25">
      <c r="A44" s="574" t="s">
        <v>447</v>
      </c>
      <c r="B44" s="635" t="s">
        <v>235</v>
      </c>
      <c r="C44" s="636" t="s">
        <v>327</v>
      </c>
      <c r="D44" s="637">
        <f>'Mat. Esc. Obra'!E10</f>
        <v>12</v>
      </c>
      <c r="E44" s="638">
        <f>'Mat. Esc. Obra'!I10</f>
        <v>0</v>
      </c>
      <c r="F44" s="1055">
        <f>D44*E44</f>
        <v>0</v>
      </c>
      <c r="G44" s="1055"/>
      <c r="H44" s="638"/>
      <c r="I44" s="569"/>
    </row>
    <row r="45" spans="1:9" ht="30" hidden="1" customHeight="1" x14ac:dyDescent="0.25">
      <c r="A45" s="574" t="s">
        <v>448</v>
      </c>
      <c r="B45" s="639" t="s">
        <v>328</v>
      </c>
      <c r="C45" s="640" t="s">
        <v>329</v>
      </c>
      <c r="D45" s="641">
        <f>'Mat. Esc. Obra'!H11</f>
        <v>0</v>
      </c>
      <c r="E45" s="638">
        <f>'Mat. Esc. Obra'!I11</f>
        <v>0</v>
      </c>
      <c r="F45" s="1055">
        <f>D45*E45</f>
        <v>0</v>
      </c>
      <c r="G45" s="1055"/>
      <c r="H45" s="638"/>
      <c r="I45" s="569"/>
    </row>
    <row r="46" spans="1:9" ht="15" hidden="1" customHeight="1" thickBot="1" x14ac:dyDescent="0.3">
      <c r="A46" s="1061" t="s">
        <v>330</v>
      </c>
      <c r="B46" s="1062"/>
      <c r="C46" s="1062"/>
      <c r="D46" s="1062"/>
      <c r="E46" s="1062"/>
      <c r="F46" s="1063">
        <f>F43+F44+F45</f>
        <v>0</v>
      </c>
      <c r="G46" s="1063"/>
      <c r="H46" s="642"/>
      <c r="I46" s="575"/>
    </row>
    <row r="47" spans="1:9" ht="15" hidden="1" customHeight="1" thickBot="1" x14ac:dyDescent="0.3">
      <c r="A47" s="1059"/>
      <c r="B47" s="1060"/>
      <c r="C47" s="1060"/>
      <c r="D47" s="1060"/>
      <c r="E47" s="1060"/>
      <c r="F47" s="1060"/>
      <c r="G47" s="1060"/>
      <c r="H47" s="643"/>
      <c r="I47" s="569"/>
    </row>
    <row r="48" spans="1:9" ht="18" hidden="1" customHeight="1" x14ac:dyDescent="0.25">
      <c r="A48" s="1053" t="s">
        <v>450</v>
      </c>
      <c r="B48" s="1054"/>
      <c r="C48" s="1054"/>
      <c r="D48" s="1054"/>
      <c r="E48" s="1054"/>
      <c r="F48" s="1054"/>
      <c r="G48" s="1054"/>
      <c r="H48" s="632"/>
      <c r="I48" s="569"/>
    </row>
    <row r="49" spans="1:10" ht="15" hidden="1" customHeight="1" x14ac:dyDescent="0.25">
      <c r="A49" s="617" t="s">
        <v>250</v>
      </c>
      <c r="B49" s="632" t="s">
        <v>507</v>
      </c>
      <c r="C49" s="632" t="s">
        <v>504</v>
      </c>
      <c r="D49" s="632" t="s">
        <v>605</v>
      </c>
      <c r="E49" s="644" t="s">
        <v>609</v>
      </c>
      <c r="F49" s="1054" t="s">
        <v>613</v>
      </c>
      <c r="G49" s="1054"/>
      <c r="H49" s="634"/>
      <c r="I49" s="569"/>
    </row>
    <row r="50" spans="1:10" ht="16.5" hidden="1" customHeight="1" x14ac:dyDescent="0.25">
      <c r="A50" s="576" t="s">
        <v>451</v>
      </c>
      <c r="B50" s="645" t="s">
        <v>432</v>
      </c>
      <c r="C50" s="634" t="s">
        <v>162</v>
      </c>
      <c r="D50" s="634">
        <f>'Mat. Esc. Obra'!F8</f>
        <v>0.1</v>
      </c>
      <c r="E50" s="646">
        <f>'Mat. Esc. Obra'!I8</f>
        <v>0</v>
      </c>
      <c r="F50" s="1056">
        <f>D50*E50</f>
        <v>0</v>
      </c>
      <c r="G50" s="1056"/>
      <c r="H50" s="647"/>
      <c r="I50" s="569"/>
    </row>
    <row r="51" spans="1:10" ht="15" hidden="1" customHeight="1" thickBot="1" x14ac:dyDescent="0.3">
      <c r="A51" s="1061" t="s">
        <v>331</v>
      </c>
      <c r="B51" s="1062"/>
      <c r="C51" s="1062"/>
      <c r="D51" s="1062"/>
      <c r="E51" s="1062"/>
      <c r="F51" s="1063">
        <f>F50</f>
        <v>0</v>
      </c>
      <c r="G51" s="1063"/>
      <c r="H51" s="642"/>
      <c r="I51" s="569"/>
    </row>
    <row r="52" spans="1:10" ht="6.75" customHeight="1" x14ac:dyDescent="0.25">
      <c r="A52" s="1059"/>
      <c r="B52" s="1060"/>
      <c r="C52" s="1060"/>
      <c r="D52" s="1060"/>
      <c r="E52" s="1060"/>
      <c r="F52" s="1060"/>
      <c r="G52" s="1060"/>
      <c r="H52" s="643"/>
      <c r="I52" s="569"/>
    </row>
    <row r="53" spans="1:10" ht="18" customHeight="1" x14ac:dyDescent="0.25">
      <c r="A53" s="1064" t="s">
        <v>893</v>
      </c>
      <c r="B53" s="1065"/>
      <c r="C53" s="1065"/>
      <c r="D53" s="1065"/>
      <c r="E53" s="1065"/>
      <c r="F53" s="1065"/>
      <c r="G53" s="1065"/>
      <c r="H53" s="632"/>
      <c r="I53" s="569"/>
    </row>
    <row r="54" spans="1:10" ht="37.5" customHeight="1" x14ac:dyDescent="0.25">
      <c r="A54" s="614" t="s">
        <v>250</v>
      </c>
      <c r="B54" s="610" t="s">
        <v>507</v>
      </c>
      <c r="C54" s="1066" t="s">
        <v>614</v>
      </c>
      <c r="D54" s="1066"/>
      <c r="E54" s="1067" t="s">
        <v>615</v>
      </c>
      <c r="F54" s="1067"/>
      <c r="G54" s="615" t="s">
        <v>616</v>
      </c>
      <c r="H54" s="648"/>
      <c r="I54" s="569"/>
    </row>
    <row r="55" spans="1:10" ht="24" x14ac:dyDescent="0.25">
      <c r="A55" s="607" t="s">
        <v>318</v>
      </c>
      <c r="B55" s="428" t="s">
        <v>332</v>
      </c>
      <c r="C55" s="1068">
        <f>Veíc.Mot.!F12</f>
        <v>0.11890000000000001</v>
      </c>
      <c r="D55" s="1068"/>
      <c r="E55" s="1069">
        <f>Veíc.Mot.!J12</f>
        <v>90016.839000000007</v>
      </c>
      <c r="F55" s="1052"/>
      <c r="G55" s="616">
        <f>C55*E55</f>
        <v>10703.002157100002</v>
      </c>
      <c r="H55" s="638"/>
      <c r="I55" s="569"/>
      <c r="J55" s="409"/>
    </row>
    <row r="56" spans="1:10" ht="24" x14ac:dyDescent="0.25">
      <c r="A56" s="1090"/>
      <c r="B56" s="1091"/>
      <c r="C56" s="608" t="s">
        <v>27</v>
      </c>
      <c r="D56" s="608" t="s">
        <v>204</v>
      </c>
      <c r="E56" s="420" t="s">
        <v>433</v>
      </c>
      <c r="F56" s="1091" t="s">
        <v>317</v>
      </c>
      <c r="G56" s="1091"/>
      <c r="H56" s="634"/>
      <c r="I56" s="569"/>
    </row>
    <row r="57" spans="1:10" ht="15" customHeight="1" x14ac:dyDescent="0.25">
      <c r="A57" s="607" t="s">
        <v>320</v>
      </c>
      <c r="B57" s="417" t="s">
        <v>333</v>
      </c>
      <c r="C57" s="419" t="s">
        <v>268</v>
      </c>
      <c r="D57" s="421">
        <f>Veíc.Mot.!C21*22/10*12</f>
        <v>11880</v>
      </c>
      <c r="E57" s="616">
        <v>5.5</v>
      </c>
      <c r="F57" s="1025">
        <f>D57*E57</f>
        <v>65340</v>
      </c>
      <c r="G57" s="1025"/>
      <c r="H57" s="640"/>
      <c r="I57" s="569"/>
    </row>
    <row r="58" spans="1:10" ht="15" hidden="1" customHeight="1" x14ac:dyDescent="0.25">
      <c r="A58" s="607" t="s">
        <v>322</v>
      </c>
      <c r="B58" s="422" t="s">
        <v>334</v>
      </c>
      <c r="C58" s="419" t="s">
        <v>327</v>
      </c>
      <c r="D58" s="423"/>
      <c r="E58" s="616"/>
      <c r="F58" s="1025">
        <f>D57*E58</f>
        <v>0</v>
      </c>
      <c r="G58" s="1025"/>
      <c r="H58" s="640"/>
      <c r="I58" s="569"/>
    </row>
    <row r="59" spans="1:10" ht="18" customHeight="1" x14ac:dyDescent="0.25">
      <c r="A59" s="1051" t="s">
        <v>335</v>
      </c>
      <c r="B59" s="1092"/>
      <c r="C59" s="1092"/>
      <c r="D59" s="1092"/>
      <c r="E59" s="1092"/>
      <c r="F59" s="1050">
        <f>SUM(G55,F57,F58)</f>
        <v>76043.002157099996</v>
      </c>
      <c r="G59" s="1050"/>
      <c r="H59" s="642"/>
      <c r="I59" s="569"/>
    </row>
    <row r="60" spans="1:10" ht="7.5" customHeight="1" x14ac:dyDescent="0.25">
      <c r="A60" s="1057"/>
      <c r="B60" s="1058"/>
      <c r="C60" s="1058"/>
      <c r="D60" s="1058"/>
      <c r="E60" s="1058"/>
      <c r="F60" s="1058"/>
      <c r="G60" s="1058"/>
      <c r="H60" s="631"/>
      <c r="I60" s="569"/>
    </row>
    <row r="61" spans="1:10" ht="18" customHeight="1" x14ac:dyDescent="0.25">
      <c r="A61" s="1029" t="s">
        <v>33</v>
      </c>
      <c r="B61" s="1030"/>
      <c r="C61" s="1030"/>
      <c r="D61" s="1030"/>
      <c r="E61" s="1030"/>
      <c r="F61" s="1030"/>
      <c r="G61" s="1030"/>
      <c r="H61" s="649"/>
      <c r="I61" s="569"/>
    </row>
    <row r="62" spans="1:10" ht="13.5" customHeight="1" x14ac:dyDescent="0.25">
      <c r="A62" s="614" t="s">
        <v>250</v>
      </c>
      <c r="B62" s="1065" t="s">
        <v>507</v>
      </c>
      <c r="C62" s="1065"/>
      <c r="D62" s="1065"/>
      <c r="E62" s="1093" t="s">
        <v>617</v>
      </c>
      <c r="F62" s="1093"/>
      <c r="G62" s="1093"/>
      <c r="H62" s="650"/>
      <c r="I62" s="569"/>
    </row>
    <row r="63" spans="1:10" x14ac:dyDescent="0.25">
      <c r="A63" s="577">
        <v>1</v>
      </c>
      <c r="B63" s="1089" t="s">
        <v>336</v>
      </c>
      <c r="C63" s="1089"/>
      <c r="D63" s="1089"/>
      <c r="E63" s="1071">
        <f>I25</f>
        <v>28071.676799999997</v>
      </c>
      <c r="F63" s="1071"/>
      <c r="G63" s="1071"/>
      <c r="H63" s="651"/>
      <c r="I63" s="569"/>
    </row>
    <row r="64" spans="1:10" ht="15" customHeight="1" x14ac:dyDescent="0.25">
      <c r="A64" s="577">
        <v>2</v>
      </c>
      <c r="B64" s="1070" t="s">
        <v>337</v>
      </c>
      <c r="C64" s="1070"/>
      <c r="D64" s="1070"/>
      <c r="E64" s="1071">
        <f>G39</f>
        <v>4129.8131999999996</v>
      </c>
      <c r="F64" s="1071"/>
      <c r="G64" s="1071"/>
      <c r="H64" s="651"/>
      <c r="I64" s="575"/>
    </row>
    <row r="65" spans="1:14" ht="15" customHeight="1" x14ac:dyDescent="0.25">
      <c r="A65" s="577">
        <v>3</v>
      </c>
      <c r="B65" s="1070" t="s">
        <v>338</v>
      </c>
      <c r="C65" s="1070"/>
      <c r="D65" s="1070"/>
      <c r="E65" s="1071">
        <f>F46</f>
        <v>0</v>
      </c>
      <c r="F65" s="1071"/>
      <c r="G65" s="1071"/>
      <c r="H65" s="651"/>
      <c r="I65" s="569"/>
    </row>
    <row r="66" spans="1:14" ht="30" customHeight="1" x14ac:dyDescent="0.25">
      <c r="A66" s="607">
        <v>4</v>
      </c>
      <c r="B66" s="1072" t="s">
        <v>339</v>
      </c>
      <c r="C66" s="1072"/>
      <c r="D66" s="1072"/>
      <c r="E66" s="1073">
        <f>F51</f>
        <v>0</v>
      </c>
      <c r="F66" s="1073"/>
      <c r="G66" s="1073"/>
      <c r="H66" s="651"/>
      <c r="I66" s="569"/>
    </row>
    <row r="67" spans="1:14" ht="15" customHeight="1" x14ac:dyDescent="0.25">
      <c r="A67" s="577">
        <v>5</v>
      </c>
      <c r="B67" s="1070" t="s">
        <v>890</v>
      </c>
      <c r="C67" s="1070"/>
      <c r="D67" s="1070"/>
      <c r="E67" s="1071">
        <f>F59</f>
        <v>76043.002157099996</v>
      </c>
      <c r="F67" s="1071"/>
      <c r="G67" s="1071"/>
      <c r="H67" s="651"/>
      <c r="I67" s="569"/>
    </row>
    <row r="68" spans="1:14" ht="18" customHeight="1" x14ac:dyDescent="0.25">
      <c r="A68" s="1036" t="s">
        <v>340</v>
      </c>
      <c r="B68" s="1037"/>
      <c r="C68" s="1037"/>
      <c r="D68" s="1037"/>
      <c r="E68" s="1074">
        <f>SUM(E63:G67)</f>
        <v>108244.4921571</v>
      </c>
      <c r="F68" s="1074"/>
      <c r="G68" s="1074"/>
      <c r="H68" s="652"/>
      <c r="I68" s="578"/>
      <c r="K68" s="654">
        <f>E68/100</f>
        <v>1082.4449215710001</v>
      </c>
      <c r="L68" s="595"/>
      <c r="N68" s="590">
        <v>63682.686469</v>
      </c>
    </row>
    <row r="69" spans="1:14" ht="18" customHeight="1" x14ac:dyDescent="0.25">
      <c r="A69" s="1078" t="s">
        <v>628</v>
      </c>
      <c r="B69" s="1079"/>
      <c r="C69" s="1079"/>
      <c r="D69" s="1080"/>
      <c r="E69" s="1075">
        <f>E68*1.2503</f>
        <v>135338.08854402212</v>
      </c>
      <c r="F69" s="1075"/>
      <c r="G69" s="1075"/>
      <c r="H69" s="653"/>
      <c r="I69" s="569"/>
    </row>
    <row r="70" spans="1:14" ht="7.5" customHeight="1" x14ac:dyDescent="0.25">
      <c r="A70" s="1076"/>
      <c r="B70" s="1077"/>
      <c r="C70" s="1077"/>
      <c r="D70" s="1077"/>
      <c r="E70" s="1077"/>
      <c r="F70" s="1077"/>
      <c r="G70" s="1077"/>
      <c r="H70" s="618"/>
      <c r="I70" s="569"/>
    </row>
    <row r="71" spans="1:14" ht="17.25" customHeight="1" x14ac:dyDescent="0.25">
      <c r="A71" s="1029" t="s">
        <v>507</v>
      </c>
      <c r="B71" s="1030"/>
      <c r="C71" s="609" t="s">
        <v>504</v>
      </c>
      <c r="D71" s="611" t="s">
        <v>605</v>
      </c>
      <c r="E71" s="1030" t="s">
        <v>618</v>
      </c>
      <c r="F71" s="1030"/>
      <c r="G71" s="1030"/>
      <c r="H71" s="620"/>
      <c r="I71" s="569"/>
    </row>
    <row r="72" spans="1:14" ht="17.25" customHeight="1" thickBot="1" x14ac:dyDescent="0.3">
      <c r="A72" s="1082" t="s">
        <v>341</v>
      </c>
      <c r="B72" s="1083"/>
      <c r="C72" s="612" t="s">
        <v>27</v>
      </c>
      <c r="D72" s="579">
        <v>100</v>
      </c>
      <c r="E72" s="1084">
        <f>E69/D72</f>
        <v>1353.3808854402212</v>
      </c>
      <c r="F72" s="1084"/>
      <c r="G72" s="1084"/>
      <c r="H72" s="580"/>
      <c r="I72" s="581"/>
    </row>
    <row r="73" spans="1:14" ht="17.25" customHeight="1" x14ac:dyDescent="0.25">
      <c r="A73" s="418"/>
      <c r="B73" s="418"/>
      <c r="C73" s="418"/>
      <c r="D73" s="558"/>
      <c r="E73" s="416"/>
      <c r="F73" s="416"/>
      <c r="G73" s="416"/>
      <c r="H73" s="416"/>
    </row>
    <row r="74" spans="1:14" x14ac:dyDescent="0.25">
      <c r="A74" s="1087"/>
      <c r="B74" s="1087"/>
      <c r="C74" s="1087"/>
      <c r="D74" s="1087"/>
      <c r="E74" s="1087"/>
      <c r="F74" s="1087"/>
      <c r="G74" s="1087"/>
      <c r="H74" s="418"/>
      <c r="J74" s="424"/>
      <c r="K74" s="424"/>
      <c r="L74" s="424"/>
    </row>
    <row r="75" spans="1:14" x14ac:dyDescent="0.25">
      <c r="A75" s="1015"/>
      <c r="B75" s="1015"/>
      <c r="C75" s="1015"/>
      <c r="D75" s="1015"/>
      <c r="E75" s="1015"/>
      <c r="F75" s="1015"/>
      <c r="G75" s="1015"/>
      <c r="H75" s="1015"/>
      <c r="I75" s="1015"/>
      <c r="J75" s="424"/>
      <c r="K75" s="424"/>
      <c r="L75" s="424"/>
    </row>
    <row r="76" spans="1:14" x14ac:dyDescent="0.25">
      <c r="A76" s="1016"/>
      <c r="B76" s="1016"/>
      <c r="C76" s="1016"/>
      <c r="D76" s="1016"/>
      <c r="E76" s="1016"/>
      <c r="F76" s="1016"/>
      <c r="G76" s="1016"/>
      <c r="H76" s="1016"/>
      <c r="I76" s="1016"/>
    </row>
    <row r="77" spans="1:14" x14ac:dyDescent="0.25">
      <c r="A77" s="427"/>
      <c r="B77" s="427"/>
      <c r="C77" s="427"/>
      <c r="D77" s="427"/>
      <c r="E77" s="427"/>
      <c r="F77" s="427"/>
      <c r="G77" s="427"/>
      <c r="H77" s="427"/>
      <c r="I77" s="427"/>
    </row>
    <row r="78" spans="1:14" x14ac:dyDescent="0.25">
      <c r="A78" s="559"/>
      <c r="B78" s="559"/>
      <c r="C78" s="559"/>
      <c r="D78" s="559"/>
      <c r="E78" s="559"/>
      <c r="F78" s="559"/>
      <c r="G78" s="559"/>
      <c r="H78" s="560"/>
      <c r="I78" s="561"/>
    </row>
    <row r="79" spans="1:14" x14ac:dyDescent="0.25">
      <c r="A79" s="1017"/>
      <c r="B79" s="1017"/>
      <c r="C79" s="1017"/>
      <c r="D79" s="1017"/>
      <c r="E79" s="1017"/>
      <c r="F79" s="1017"/>
      <c r="G79" s="1017"/>
      <c r="H79" s="1017"/>
      <c r="I79" s="1017"/>
    </row>
    <row r="80" spans="1:14" x14ac:dyDescent="0.25">
      <c r="A80" s="1088"/>
      <c r="B80" s="1088"/>
      <c r="C80" s="1088"/>
      <c r="D80" s="1088"/>
      <c r="E80" s="1088"/>
      <c r="F80" s="1088"/>
      <c r="G80" s="1088"/>
      <c r="H80" s="1088"/>
      <c r="I80" s="1088"/>
    </row>
    <row r="81" spans="1:9" x14ac:dyDescent="0.25">
      <c r="A81" s="1085"/>
      <c r="B81" s="1085"/>
      <c r="C81" s="1085"/>
      <c r="D81" s="1085"/>
      <c r="E81" s="1085"/>
      <c r="F81" s="1085"/>
      <c r="G81" s="1085"/>
      <c r="H81" s="429"/>
      <c r="I81" s="425"/>
    </row>
    <row r="82" spans="1:9" x14ac:dyDescent="0.25">
      <c r="A82" s="1086"/>
      <c r="B82" s="1086"/>
      <c r="C82" s="1086"/>
      <c r="D82" s="1086"/>
      <c r="E82" s="1086"/>
      <c r="F82" s="1086"/>
      <c r="G82" s="1086"/>
      <c r="H82" s="426"/>
    </row>
    <row r="83" spans="1:9" x14ac:dyDescent="0.25">
      <c r="B83" s="1081"/>
      <c r="C83" s="1081"/>
      <c r="D83" s="1081"/>
      <c r="E83" s="1081"/>
      <c r="F83" s="1081"/>
    </row>
  </sheetData>
  <mergeCells count="82">
    <mergeCell ref="B63:D63"/>
    <mergeCell ref="E63:G63"/>
    <mergeCell ref="B64:D64"/>
    <mergeCell ref="E64:G64"/>
    <mergeCell ref="A56:B56"/>
    <mergeCell ref="F56:G56"/>
    <mergeCell ref="F57:G57"/>
    <mergeCell ref="F58:G58"/>
    <mergeCell ref="A59:E59"/>
    <mergeCell ref="F59:G59"/>
    <mergeCell ref="A61:G61"/>
    <mergeCell ref="A60:G60"/>
    <mergeCell ref="B62:D62"/>
    <mergeCell ref="E62:G62"/>
    <mergeCell ref="B83:F83"/>
    <mergeCell ref="A72:B72"/>
    <mergeCell ref="E72:G72"/>
    <mergeCell ref="A81:G81"/>
    <mergeCell ref="A82:G82"/>
    <mergeCell ref="A74:G74"/>
    <mergeCell ref="A80:I80"/>
    <mergeCell ref="A71:B71"/>
    <mergeCell ref="E71:G71"/>
    <mergeCell ref="B65:D65"/>
    <mergeCell ref="E65:G65"/>
    <mergeCell ref="B66:D66"/>
    <mergeCell ref="E66:G66"/>
    <mergeCell ref="B67:D67"/>
    <mergeCell ref="E67:G67"/>
    <mergeCell ref="A68:D68"/>
    <mergeCell ref="E68:G68"/>
    <mergeCell ref="E69:G69"/>
    <mergeCell ref="A70:G70"/>
    <mergeCell ref="A69:D69"/>
    <mergeCell ref="F51:G51"/>
    <mergeCell ref="A53:G53"/>
    <mergeCell ref="C54:D54"/>
    <mergeCell ref="E54:F54"/>
    <mergeCell ref="C55:D55"/>
    <mergeCell ref="E55:F55"/>
    <mergeCell ref="A52:G52"/>
    <mergeCell ref="A51:E51"/>
    <mergeCell ref="A39:F39"/>
    <mergeCell ref="A41:G41"/>
    <mergeCell ref="F42:G42"/>
    <mergeCell ref="F43:G43"/>
    <mergeCell ref="F50:G50"/>
    <mergeCell ref="A40:G40"/>
    <mergeCell ref="A47:G47"/>
    <mergeCell ref="F49:G49"/>
    <mergeCell ref="F44:G44"/>
    <mergeCell ref="F45:G45"/>
    <mergeCell ref="A46:E46"/>
    <mergeCell ref="F46:G46"/>
    <mergeCell ref="A48:G48"/>
    <mergeCell ref="C37:D37"/>
    <mergeCell ref="E37:F38"/>
    <mergeCell ref="G37:G38"/>
    <mergeCell ref="A38:B38"/>
    <mergeCell ref="C38:D38"/>
    <mergeCell ref="A25:E25"/>
    <mergeCell ref="A32:F32"/>
    <mergeCell ref="C33:D33"/>
    <mergeCell ref="C34:D34"/>
    <mergeCell ref="C35:D35"/>
    <mergeCell ref="E35:F35"/>
    <mergeCell ref="A2:I2"/>
    <mergeCell ref="A1:I1"/>
    <mergeCell ref="A75:I75"/>
    <mergeCell ref="A76:I76"/>
    <mergeCell ref="A79:I79"/>
    <mergeCell ref="A3:I3"/>
    <mergeCell ref="A4:I4"/>
    <mergeCell ref="A5:I5"/>
    <mergeCell ref="B7:I7"/>
    <mergeCell ref="A26:G26"/>
    <mergeCell ref="A6:I6"/>
    <mergeCell ref="C36:D36"/>
    <mergeCell ref="E36:G36"/>
    <mergeCell ref="A27:G27"/>
    <mergeCell ref="A8:I8"/>
    <mergeCell ref="A10:I10"/>
  </mergeCells>
  <pageMargins left="1.1023622047244095" right="0.11811023622047245" top="0.59055118110236227" bottom="0.15748031496062992" header="0.23622047244094491" footer="0.15748031496062992"/>
  <pageSetup paperSize="9" scale="80" orientation="portrait" r:id="rId1"/>
  <headerFooter>
    <oddFooter>&amp;R&amp;P de &amp;N Páginas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8"/>
  <sheetViews>
    <sheetView workbookViewId="0">
      <selection sqref="A1:C1"/>
    </sheetView>
  </sheetViews>
  <sheetFormatPr defaultRowHeight="15" x14ac:dyDescent="0.25"/>
  <cols>
    <col min="1" max="1" width="4.5703125" bestFit="1" customWidth="1"/>
    <col min="2" max="2" width="53.42578125" customWidth="1"/>
    <col min="3" max="3" width="16.42578125" customWidth="1"/>
  </cols>
  <sheetData>
    <row r="1" spans="1:3" ht="70.5" customHeight="1" thickBot="1" x14ac:dyDescent="0.3">
      <c r="A1" s="1099" t="s">
        <v>38</v>
      </c>
      <c r="B1" s="1100"/>
      <c r="C1" s="1101"/>
    </row>
    <row r="2" spans="1:3" ht="32.25" thickBot="1" x14ac:dyDescent="0.3">
      <c r="A2" s="5"/>
      <c r="B2" s="6" t="s">
        <v>39</v>
      </c>
      <c r="C2" s="7" t="s">
        <v>40</v>
      </c>
    </row>
    <row r="3" spans="1:3" ht="15.75" x14ac:dyDescent="0.25">
      <c r="A3" s="13" t="s">
        <v>129</v>
      </c>
      <c r="B3" s="8" t="s">
        <v>41</v>
      </c>
      <c r="C3" s="1102">
        <v>10</v>
      </c>
    </row>
    <row r="4" spans="1:3" ht="45" x14ac:dyDescent="0.25">
      <c r="A4" s="14"/>
      <c r="B4" s="9" t="s">
        <v>42</v>
      </c>
      <c r="C4" s="1094"/>
    </row>
    <row r="5" spans="1:3" ht="31.5" customHeight="1" x14ac:dyDescent="0.25">
      <c r="A5" s="14"/>
      <c r="B5" s="9" t="s">
        <v>43</v>
      </c>
      <c r="C5" s="1094"/>
    </row>
    <row r="6" spans="1:3" ht="48" customHeight="1" x14ac:dyDescent="0.25">
      <c r="A6" s="14"/>
      <c r="B6" s="9" t="s">
        <v>44</v>
      </c>
      <c r="C6" s="1094"/>
    </row>
    <row r="7" spans="1:3" ht="36.75" customHeight="1" x14ac:dyDescent="0.25">
      <c r="A7" s="14"/>
      <c r="B7" s="9" t="s">
        <v>45</v>
      </c>
      <c r="C7" s="1094"/>
    </row>
    <row r="8" spans="1:3" ht="75" x14ac:dyDescent="0.25">
      <c r="A8" s="14"/>
      <c r="B8" s="9" t="s">
        <v>46</v>
      </c>
      <c r="C8" s="1094"/>
    </row>
    <row r="9" spans="1:3" ht="15.75" x14ac:dyDescent="0.25">
      <c r="A9" s="14"/>
      <c r="B9" s="9"/>
      <c r="C9" s="84"/>
    </row>
    <row r="10" spans="1:3" ht="18.75" customHeight="1" x14ac:dyDescent="0.25">
      <c r="A10" s="14" t="s">
        <v>130</v>
      </c>
      <c r="B10" s="10" t="s">
        <v>47</v>
      </c>
      <c r="C10" s="1094" t="s">
        <v>48</v>
      </c>
    </row>
    <row r="11" spans="1:3" ht="30.75" customHeight="1" x14ac:dyDescent="0.25">
      <c r="A11" s="14"/>
      <c r="B11" s="9" t="s">
        <v>49</v>
      </c>
      <c r="C11" s="1094"/>
    </row>
    <row r="12" spans="1:3" ht="15.75" x14ac:dyDescent="0.25">
      <c r="A12" s="14"/>
      <c r="B12" s="9"/>
      <c r="C12" s="84"/>
    </row>
    <row r="13" spans="1:3" ht="20.25" customHeight="1" x14ac:dyDescent="0.25">
      <c r="A13" s="14" t="s">
        <v>131</v>
      </c>
      <c r="B13" s="10" t="s">
        <v>50</v>
      </c>
      <c r="C13" s="1094" t="s">
        <v>51</v>
      </c>
    </row>
    <row r="14" spans="1:3" ht="53.25" customHeight="1" x14ac:dyDescent="0.25">
      <c r="A14" s="14"/>
      <c r="B14" s="9" t="s">
        <v>52</v>
      </c>
      <c r="C14" s="1094"/>
    </row>
    <row r="15" spans="1:3" ht="15.75" x14ac:dyDescent="0.25">
      <c r="A15" s="14"/>
      <c r="B15" s="9"/>
      <c r="C15" s="84"/>
    </row>
    <row r="16" spans="1:3" ht="24" customHeight="1" x14ac:dyDescent="0.25">
      <c r="A16" s="14" t="s">
        <v>132</v>
      </c>
      <c r="B16" s="10" t="s">
        <v>53</v>
      </c>
      <c r="C16" s="1094" t="s">
        <v>48</v>
      </c>
    </row>
    <row r="17" spans="1:3" ht="48" customHeight="1" x14ac:dyDescent="0.25">
      <c r="A17" s="14"/>
      <c r="B17" s="9" t="s">
        <v>54</v>
      </c>
      <c r="C17" s="1094"/>
    </row>
    <row r="18" spans="1:3" ht="75" x14ac:dyDescent="0.25">
      <c r="A18" s="14"/>
      <c r="B18" s="9" t="s">
        <v>55</v>
      </c>
      <c r="C18" s="1094"/>
    </row>
    <row r="19" spans="1:3" ht="80.25" customHeight="1" x14ac:dyDescent="0.25">
      <c r="A19" s="14"/>
      <c r="B19" s="9" t="s">
        <v>56</v>
      </c>
      <c r="C19" s="1094"/>
    </row>
    <row r="20" spans="1:3" ht="49.5" customHeight="1" x14ac:dyDescent="0.25">
      <c r="A20" s="14"/>
      <c r="B20" s="9" t="s">
        <v>57</v>
      </c>
      <c r="C20" s="1094"/>
    </row>
    <row r="21" spans="1:3" ht="33.75" customHeight="1" x14ac:dyDescent="0.25">
      <c r="A21" s="14"/>
      <c r="B21" s="9" t="s">
        <v>58</v>
      </c>
      <c r="C21" s="1094"/>
    </row>
    <row r="22" spans="1:3" ht="36" customHeight="1" x14ac:dyDescent="0.25">
      <c r="A22" s="14"/>
      <c r="B22" s="9" t="s">
        <v>59</v>
      </c>
      <c r="C22" s="1094"/>
    </row>
    <row r="23" spans="1:3" ht="90" x14ac:dyDescent="0.25">
      <c r="A23" s="14"/>
      <c r="B23" s="9" t="s">
        <v>60</v>
      </c>
      <c r="C23" s="1094"/>
    </row>
    <row r="24" spans="1:3" x14ac:dyDescent="0.25">
      <c r="A24" s="14"/>
      <c r="B24" s="9" t="s">
        <v>61</v>
      </c>
      <c r="C24" s="1094"/>
    </row>
    <row r="25" spans="1:3" ht="15.75" x14ac:dyDescent="0.25">
      <c r="A25" s="14"/>
      <c r="B25" s="9"/>
      <c r="C25" s="84"/>
    </row>
    <row r="26" spans="1:3" ht="81.75" customHeight="1" x14ac:dyDescent="0.25">
      <c r="A26" s="14" t="s">
        <v>133</v>
      </c>
      <c r="B26" s="10" t="s">
        <v>62</v>
      </c>
      <c r="C26" s="84">
        <v>10</v>
      </c>
    </row>
    <row r="27" spans="1:3" ht="60" x14ac:dyDescent="0.25">
      <c r="A27" s="14"/>
      <c r="B27" s="9" t="s">
        <v>63</v>
      </c>
      <c r="C27" s="84">
        <v>33.33</v>
      </c>
    </row>
    <row r="28" spans="1:3" ht="15.75" x14ac:dyDescent="0.25">
      <c r="A28" s="14" t="s">
        <v>134</v>
      </c>
      <c r="B28" s="9"/>
      <c r="C28" s="84"/>
    </row>
    <row r="29" spans="1:3" ht="21" customHeight="1" x14ac:dyDescent="0.25">
      <c r="A29" s="14"/>
      <c r="B29" s="11" t="s">
        <v>64</v>
      </c>
      <c r="C29" s="85">
        <v>20</v>
      </c>
    </row>
    <row r="30" spans="1:3" ht="15.75" x14ac:dyDescent="0.25">
      <c r="A30" s="14"/>
      <c r="B30" s="10"/>
      <c r="C30" s="84"/>
    </row>
    <row r="31" spans="1:3" ht="21" customHeight="1" x14ac:dyDescent="0.25">
      <c r="A31" s="14" t="s">
        <v>135</v>
      </c>
      <c r="B31" s="10" t="s">
        <v>65</v>
      </c>
      <c r="C31" s="1094" t="s">
        <v>51</v>
      </c>
    </row>
    <row r="32" spans="1:3" ht="36" customHeight="1" x14ac:dyDescent="0.25">
      <c r="A32" s="14"/>
      <c r="B32" s="9" t="s">
        <v>66</v>
      </c>
      <c r="C32" s="1094"/>
    </row>
    <row r="33" spans="1:3" ht="75" x14ac:dyDescent="0.25">
      <c r="A33" s="14"/>
      <c r="B33" s="9" t="s">
        <v>67</v>
      </c>
      <c r="C33" s="1094"/>
    </row>
    <row r="34" spans="1:3" ht="15.75" x14ac:dyDescent="0.25">
      <c r="A34" s="14"/>
      <c r="B34" s="9"/>
      <c r="C34" s="84"/>
    </row>
    <row r="35" spans="1:3" ht="49.5" customHeight="1" x14ac:dyDescent="0.25">
      <c r="A35" s="14" t="s">
        <v>136</v>
      </c>
      <c r="B35" s="10" t="s">
        <v>68</v>
      </c>
      <c r="C35" s="84">
        <v>20</v>
      </c>
    </row>
    <row r="36" spans="1:3" ht="15.75" x14ac:dyDescent="0.25">
      <c r="A36" s="14"/>
      <c r="B36" s="10"/>
      <c r="C36" s="84"/>
    </row>
    <row r="37" spans="1:3" ht="60.75" x14ac:dyDescent="0.25">
      <c r="A37" s="14" t="s">
        <v>137</v>
      </c>
      <c r="B37" s="10" t="s">
        <v>69</v>
      </c>
      <c r="C37" s="84">
        <v>4</v>
      </c>
    </row>
    <row r="38" spans="1:3" ht="15.75" x14ac:dyDescent="0.25">
      <c r="A38" s="14"/>
      <c r="B38" s="10"/>
      <c r="C38" s="84"/>
    </row>
    <row r="39" spans="1:3" ht="15.75" x14ac:dyDescent="0.25">
      <c r="A39" s="14" t="s">
        <v>138</v>
      </c>
      <c r="B39" s="10" t="s">
        <v>70</v>
      </c>
      <c r="C39" s="1094">
        <v>20</v>
      </c>
    </row>
    <row r="40" spans="1:3" ht="30" x14ac:dyDescent="0.25">
      <c r="A40" s="14"/>
      <c r="B40" s="9" t="s">
        <v>71</v>
      </c>
      <c r="C40" s="1094"/>
    </row>
    <row r="41" spans="1:3" ht="30" x14ac:dyDescent="0.25">
      <c r="A41" s="14"/>
      <c r="B41" s="9" t="s">
        <v>72</v>
      </c>
      <c r="C41" s="1094"/>
    </row>
    <row r="42" spans="1:3" ht="75" x14ac:dyDescent="0.25">
      <c r="A42" s="14"/>
      <c r="B42" s="9" t="s">
        <v>73</v>
      </c>
      <c r="C42" s="1094"/>
    </row>
    <row r="43" spans="1:3" ht="30" x14ac:dyDescent="0.25">
      <c r="A43" s="14"/>
      <c r="B43" s="9" t="s">
        <v>74</v>
      </c>
      <c r="C43" s="1094"/>
    </row>
    <row r="44" spans="1:3" ht="60" x14ac:dyDescent="0.25">
      <c r="A44" s="14"/>
      <c r="B44" s="9" t="s">
        <v>75</v>
      </c>
      <c r="C44" s="1094"/>
    </row>
    <row r="45" spans="1:3" ht="30" x14ac:dyDescent="0.25">
      <c r="A45" s="14"/>
      <c r="B45" s="9" t="s">
        <v>76</v>
      </c>
      <c r="C45" s="1094"/>
    </row>
    <row r="46" spans="1:3" ht="30" x14ac:dyDescent="0.25">
      <c r="A46" s="14"/>
      <c r="B46" s="9" t="s">
        <v>77</v>
      </c>
      <c r="C46" s="1094"/>
    </row>
    <row r="47" spans="1:3" ht="30" x14ac:dyDescent="0.25">
      <c r="A47" s="14"/>
      <c r="B47" s="9" t="s">
        <v>78</v>
      </c>
      <c r="C47" s="1094"/>
    </row>
    <row r="48" spans="1:3" x14ac:dyDescent="0.25">
      <c r="A48" s="14"/>
      <c r="B48" s="9" t="s">
        <v>79</v>
      </c>
      <c r="C48" s="1094"/>
    </row>
    <row r="49" spans="1:3" ht="15.75" x14ac:dyDescent="0.25">
      <c r="A49" s="14"/>
      <c r="B49" s="9"/>
      <c r="C49" s="84"/>
    </row>
    <row r="50" spans="1:3" ht="45.75" x14ac:dyDescent="0.25">
      <c r="A50" s="14" t="s">
        <v>139</v>
      </c>
      <c r="B50" s="10" t="s">
        <v>80</v>
      </c>
      <c r="C50" s="84">
        <v>25</v>
      </c>
    </row>
    <row r="51" spans="1:3" ht="15.75" x14ac:dyDescent="0.25">
      <c r="A51" s="14"/>
      <c r="B51" s="10"/>
      <c r="C51" s="84"/>
    </row>
    <row r="52" spans="1:3" ht="15.75" x14ac:dyDescent="0.25">
      <c r="A52" s="14" t="s">
        <v>140</v>
      </c>
      <c r="B52" s="11" t="s">
        <v>81</v>
      </c>
      <c r="C52" s="1098" t="s">
        <v>48</v>
      </c>
    </row>
    <row r="53" spans="1:3" ht="30" x14ac:dyDescent="0.25">
      <c r="A53" s="14"/>
      <c r="B53" s="12" t="s">
        <v>82</v>
      </c>
      <c r="C53" s="1098"/>
    </row>
    <row r="54" spans="1:3" ht="45" x14ac:dyDescent="0.25">
      <c r="A54" s="14"/>
      <c r="B54" s="12" t="s">
        <v>83</v>
      </c>
      <c r="C54" s="1098"/>
    </row>
    <row r="55" spans="1:3" x14ac:dyDescent="0.25">
      <c r="A55" s="14"/>
      <c r="B55" s="12" t="s">
        <v>84</v>
      </c>
      <c r="C55" s="1098"/>
    </row>
    <row r="56" spans="1:3" ht="30" x14ac:dyDescent="0.25">
      <c r="A56" s="14"/>
      <c r="B56" s="12" t="s">
        <v>85</v>
      </c>
      <c r="C56" s="1098"/>
    </row>
    <row r="57" spans="1:3" ht="30" x14ac:dyDescent="0.25">
      <c r="A57" s="14"/>
      <c r="B57" s="12" t="s">
        <v>86</v>
      </c>
      <c r="C57" s="1098"/>
    </row>
    <row r="58" spans="1:3" ht="30" x14ac:dyDescent="0.25">
      <c r="A58" s="14"/>
      <c r="B58" s="12" t="s">
        <v>87</v>
      </c>
      <c r="C58" s="1098"/>
    </row>
    <row r="59" spans="1:3" ht="120" x14ac:dyDescent="0.25">
      <c r="A59" s="14"/>
      <c r="B59" s="12" t="s">
        <v>88</v>
      </c>
      <c r="C59" s="1098"/>
    </row>
    <row r="60" spans="1:3" ht="105" x14ac:dyDescent="0.25">
      <c r="A60" s="14"/>
      <c r="B60" s="12" t="s">
        <v>89</v>
      </c>
      <c r="C60" s="1098"/>
    </row>
    <row r="61" spans="1:3" ht="45" x14ac:dyDescent="0.25">
      <c r="A61" s="14"/>
      <c r="B61" s="12" t="s">
        <v>90</v>
      </c>
      <c r="C61" s="1098"/>
    </row>
    <row r="62" spans="1:3" ht="15.75" x14ac:dyDescent="0.25">
      <c r="A62" s="14"/>
      <c r="B62" s="12"/>
      <c r="C62" s="85"/>
    </row>
    <row r="63" spans="1:3" ht="15.75" x14ac:dyDescent="0.25">
      <c r="A63" s="14" t="s">
        <v>141</v>
      </c>
      <c r="B63" s="10" t="s">
        <v>91</v>
      </c>
      <c r="C63" s="1094" t="s">
        <v>48</v>
      </c>
    </row>
    <row r="64" spans="1:3" x14ac:dyDescent="0.25">
      <c r="A64" s="14"/>
      <c r="B64" s="9" t="s">
        <v>92</v>
      </c>
      <c r="C64" s="1094"/>
    </row>
    <row r="65" spans="1:3" x14ac:dyDescent="0.25">
      <c r="A65" s="14"/>
      <c r="B65" s="9" t="s">
        <v>93</v>
      </c>
      <c r="C65" s="1094"/>
    </row>
    <row r="66" spans="1:3" ht="30" x14ac:dyDescent="0.25">
      <c r="A66" s="14"/>
      <c r="B66" s="9" t="s">
        <v>94</v>
      </c>
      <c r="C66" s="1094"/>
    </row>
    <row r="67" spans="1:3" ht="15.75" x14ac:dyDescent="0.25">
      <c r="A67" s="14"/>
      <c r="B67" s="9"/>
      <c r="C67" s="84"/>
    </row>
    <row r="68" spans="1:3" ht="15.75" x14ac:dyDescent="0.25">
      <c r="A68" s="14" t="s">
        <v>142</v>
      </c>
      <c r="B68" s="10" t="s">
        <v>95</v>
      </c>
      <c r="C68" s="84">
        <v>10</v>
      </c>
    </row>
    <row r="69" spans="1:3" ht="15.75" x14ac:dyDescent="0.25">
      <c r="A69" s="14"/>
      <c r="B69" s="10"/>
      <c r="C69" s="84"/>
    </row>
    <row r="70" spans="1:3" ht="15.75" x14ac:dyDescent="0.25">
      <c r="A70" s="14" t="s">
        <v>143</v>
      </c>
      <c r="B70" s="10" t="s">
        <v>96</v>
      </c>
      <c r="C70" s="84">
        <v>10</v>
      </c>
    </row>
    <row r="71" spans="1:3" ht="15.75" x14ac:dyDescent="0.25">
      <c r="A71" s="14"/>
      <c r="B71" s="10"/>
      <c r="C71" s="84"/>
    </row>
    <row r="72" spans="1:3" ht="15.75" x14ac:dyDescent="0.25">
      <c r="A72" s="14" t="s">
        <v>144</v>
      </c>
      <c r="B72" s="10" t="s">
        <v>97</v>
      </c>
      <c r="C72" s="1094" t="s">
        <v>98</v>
      </c>
    </row>
    <row r="73" spans="1:3" ht="75" x14ac:dyDescent="0.25">
      <c r="A73" s="14"/>
      <c r="B73" s="9" t="s">
        <v>99</v>
      </c>
      <c r="C73" s="1094"/>
    </row>
    <row r="74" spans="1:3" ht="30" x14ac:dyDescent="0.25">
      <c r="A74" s="14"/>
      <c r="B74" s="9" t="s">
        <v>100</v>
      </c>
      <c r="C74" s="1094"/>
    </row>
    <row r="75" spans="1:3" ht="15.75" x14ac:dyDescent="0.25">
      <c r="A75" s="14"/>
      <c r="B75" s="9"/>
      <c r="C75" s="84"/>
    </row>
    <row r="76" spans="1:3" ht="15.75" x14ac:dyDescent="0.25">
      <c r="A76" s="14" t="s">
        <v>145</v>
      </c>
      <c r="B76" s="10" t="s">
        <v>101</v>
      </c>
      <c r="C76" s="1094" t="s">
        <v>48</v>
      </c>
    </row>
    <row r="77" spans="1:3" x14ac:dyDescent="0.25">
      <c r="A77" s="14"/>
      <c r="B77" s="9" t="s">
        <v>102</v>
      </c>
      <c r="C77" s="1094"/>
    </row>
    <row r="78" spans="1:3" ht="135" x14ac:dyDescent="0.25">
      <c r="A78" s="14"/>
      <c r="B78" s="9" t="s">
        <v>103</v>
      </c>
      <c r="C78" s="1094"/>
    </row>
    <row r="79" spans="1:3" ht="15.75" x14ac:dyDescent="0.25">
      <c r="A79" s="14"/>
      <c r="B79" s="9"/>
      <c r="C79" s="84"/>
    </row>
    <row r="80" spans="1:3" ht="15.75" x14ac:dyDescent="0.25">
      <c r="A80" s="14" t="s">
        <v>146</v>
      </c>
      <c r="B80" s="10" t="s">
        <v>104</v>
      </c>
      <c r="C80" s="1094" t="s">
        <v>105</v>
      </c>
    </row>
    <row r="81" spans="1:3" ht="60" x14ac:dyDescent="0.25">
      <c r="A81" s="14"/>
      <c r="B81" s="9" t="s">
        <v>106</v>
      </c>
      <c r="C81" s="1094"/>
    </row>
    <row r="82" spans="1:3" ht="15.75" x14ac:dyDescent="0.25">
      <c r="A82" s="14"/>
      <c r="B82" s="9"/>
      <c r="C82" s="84"/>
    </row>
    <row r="83" spans="1:3" ht="15.75" x14ac:dyDescent="0.25">
      <c r="A83" s="14" t="s">
        <v>147</v>
      </c>
      <c r="B83" s="11" t="s">
        <v>107</v>
      </c>
      <c r="C83" s="85">
        <v>10</v>
      </c>
    </row>
    <row r="84" spans="1:3" ht="15.75" x14ac:dyDescent="0.25">
      <c r="A84" s="14"/>
      <c r="B84" s="10"/>
      <c r="C84" s="84"/>
    </row>
    <row r="85" spans="1:3" ht="31.5" x14ac:dyDescent="0.25">
      <c r="A85" s="14" t="s">
        <v>148</v>
      </c>
      <c r="B85" s="10" t="s">
        <v>108</v>
      </c>
      <c r="C85" s="84">
        <v>20</v>
      </c>
    </row>
    <row r="86" spans="1:3" ht="15.75" x14ac:dyDescent="0.25">
      <c r="A86" s="14"/>
      <c r="B86" s="10"/>
      <c r="C86" s="84"/>
    </row>
    <row r="87" spans="1:3" ht="15.75" x14ac:dyDescent="0.25">
      <c r="A87" s="14" t="s">
        <v>149</v>
      </c>
      <c r="B87" s="10" t="s">
        <v>109</v>
      </c>
      <c r="C87" s="1094" t="s">
        <v>110</v>
      </c>
    </row>
    <row r="88" spans="1:3" x14ac:dyDescent="0.25">
      <c r="A88" s="14"/>
      <c r="B88" s="9" t="s">
        <v>111</v>
      </c>
      <c r="C88" s="1094"/>
    </row>
    <row r="89" spans="1:3" ht="45" x14ac:dyDescent="0.25">
      <c r="A89" s="14"/>
      <c r="B89" s="9" t="s">
        <v>112</v>
      </c>
      <c r="C89" s="1094"/>
    </row>
    <row r="90" spans="1:3" ht="90" x14ac:dyDescent="0.25">
      <c r="A90" s="14"/>
      <c r="B90" s="9" t="s">
        <v>113</v>
      </c>
      <c r="C90" s="1094"/>
    </row>
    <row r="91" spans="1:3" ht="45" x14ac:dyDescent="0.25">
      <c r="A91" s="14"/>
      <c r="B91" s="9" t="s">
        <v>114</v>
      </c>
      <c r="C91" s="1094"/>
    </row>
    <row r="92" spans="1:3" ht="30" x14ac:dyDescent="0.25">
      <c r="A92" s="14"/>
      <c r="B92" s="9" t="s">
        <v>115</v>
      </c>
      <c r="C92" s="1094"/>
    </row>
    <row r="93" spans="1:3" ht="45" x14ac:dyDescent="0.25">
      <c r="A93" s="14"/>
      <c r="B93" s="9" t="s">
        <v>116</v>
      </c>
      <c r="C93" s="1094"/>
    </row>
    <row r="94" spans="1:3" ht="15.75" x14ac:dyDescent="0.25">
      <c r="A94" s="14"/>
      <c r="B94" s="9"/>
      <c r="C94" s="84"/>
    </row>
    <row r="95" spans="1:3" ht="15.75" x14ac:dyDescent="0.25">
      <c r="A95" s="14" t="s">
        <v>150</v>
      </c>
      <c r="B95" s="10" t="s">
        <v>117</v>
      </c>
      <c r="C95" s="1094">
        <v>20</v>
      </c>
    </row>
    <row r="96" spans="1:3" ht="15.75" x14ac:dyDescent="0.25">
      <c r="A96" s="14"/>
      <c r="B96" s="10" t="s">
        <v>118</v>
      </c>
      <c r="C96" s="1094"/>
    </row>
    <row r="97" spans="1:3" ht="15.75" x14ac:dyDescent="0.25">
      <c r="A97" s="14"/>
      <c r="B97" s="10"/>
      <c r="C97" s="84"/>
    </row>
    <row r="98" spans="1:3" ht="15.75" x14ac:dyDescent="0.25">
      <c r="A98" s="14" t="s">
        <v>151</v>
      </c>
      <c r="B98" s="43" t="s">
        <v>119</v>
      </c>
      <c r="C98" s="1095">
        <v>20</v>
      </c>
    </row>
    <row r="99" spans="1:3" ht="90" x14ac:dyDescent="0.25">
      <c r="A99" s="14"/>
      <c r="B99" s="44" t="s">
        <v>120</v>
      </c>
      <c r="C99" s="1095"/>
    </row>
    <row r="100" spans="1:3" ht="30" x14ac:dyDescent="0.25">
      <c r="A100" s="14"/>
      <c r="B100" s="44" t="s">
        <v>121</v>
      </c>
      <c r="C100" s="1095"/>
    </row>
    <row r="101" spans="1:3" x14ac:dyDescent="0.25">
      <c r="A101" s="14"/>
      <c r="B101" s="44" t="s">
        <v>122</v>
      </c>
      <c r="C101" s="1095"/>
    </row>
    <row r="102" spans="1:3" ht="15.75" x14ac:dyDescent="0.25">
      <c r="A102" s="14"/>
      <c r="B102" s="9"/>
      <c r="C102" s="84"/>
    </row>
    <row r="103" spans="1:3" ht="15.75" x14ac:dyDescent="0.25">
      <c r="A103" s="14" t="s">
        <v>152</v>
      </c>
      <c r="B103" s="40" t="s">
        <v>123</v>
      </c>
      <c r="C103" s="1096">
        <v>25</v>
      </c>
    </row>
    <row r="104" spans="1:3" x14ac:dyDescent="0.25">
      <c r="A104" s="14"/>
      <c r="B104" s="41" t="s">
        <v>124</v>
      </c>
      <c r="C104" s="1096"/>
    </row>
    <row r="105" spans="1:3" ht="30" x14ac:dyDescent="0.25">
      <c r="A105" s="14"/>
      <c r="B105" s="41" t="s">
        <v>125</v>
      </c>
      <c r="C105" s="1096"/>
    </row>
    <row r="106" spans="1:3" ht="105" x14ac:dyDescent="0.25">
      <c r="A106" s="14"/>
      <c r="B106" s="41" t="s">
        <v>126</v>
      </c>
      <c r="C106" s="1096"/>
    </row>
    <row r="107" spans="1:3" ht="45" x14ac:dyDescent="0.25">
      <c r="A107" s="14"/>
      <c r="B107" s="41" t="s">
        <v>127</v>
      </c>
      <c r="C107" s="1096"/>
    </row>
    <row r="108" spans="1:3" ht="90.75" thickBot="1" x14ac:dyDescent="0.3">
      <c r="A108" s="15"/>
      <c r="B108" s="42" t="s">
        <v>128</v>
      </c>
      <c r="C108" s="1097"/>
    </row>
  </sheetData>
  <mergeCells count="16">
    <mergeCell ref="C31:C33"/>
    <mergeCell ref="A1:C1"/>
    <mergeCell ref="C3:C8"/>
    <mergeCell ref="C10:C11"/>
    <mergeCell ref="C13:C14"/>
    <mergeCell ref="C16:C24"/>
    <mergeCell ref="C87:C93"/>
    <mergeCell ref="C95:C96"/>
    <mergeCell ref="C98:C101"/>
    <mergeCell ref="C103:C108"/>
    <mergeCell ref="C39:C48"/>
    <mergeCell ref="C52:C61"/>
    <mergeCell ref="C63:C66"/>
    <mergeCell ref="C72:C74"/>
    <mergeCell ref="C76:C78"/>
    <mergeCell ref="C80:C81"/>
  </mergeCell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14" sqref="H14"/>
    </sheetView>
  </sheetViews>
  <sheetFormatPr defaultRowHeight="15" x14ac:dyDescent="0.25"/>
  <cols>
    <col min="1" max="1" width="28" customWidth="1"/>
    <col min="2" max="2" width="12" customWidth="1"/>
    <col min="3" max="3" width="11" customWidth="1"/>
    <col min="5" max="5" width="10.140625" customWidth="1"/>
    <col min="6" max="6" width="12.140625" customWidth="1"/>
    <col min="8" max="8" width="13.5703125" customWidth="1"/>
  </cols>
  <sheetData>
    <row r="1" spans="1:8" ht="15.75" x14ac:dyDescent="0.25">
      <c r="D1" s="318" t="s">
        <v>650</v>
      </c>
    </row>
    <row r="2" spans="1:8" x14ac:dyDescent="0.25">
      <c r="A2" s="48"/>
      <c r="B2" s="117" t="s">
        <v>550</v>
      </c>
      <c r="C2" s="117" t="s">
        <v>551</v>
      </c>
      <c r="D2" s="117" t="s">
        <v>552</v>
      </c>
      <c r="E2" s="117" t="s">
        <v>646</v>
      </c>
      <c r="F2" s="117" t="s">
        <v>647</v>
      </c>
      <c r="G2" s="117" t="s">
        <v>648</v>
      </c>
      <c r="H2" s="117" t="s">
        <v>649</v>
      </c>
    </row>
    <row r="3" spans="1:8" ht="30" x14ac:dyDescent="0.25">
      <c r="A3" s="258" t="s">
        <v>494</v>
      </c>
      <c r="B3" s="117"/>
      <c r="C3" s="117"/>
      <c r="D3" s="117"/>
      <c r="E3" s="117"/>
      <c r="F3" s="117"/>
      <c r="G3" s="117"/>
      <c r="H3" s="49">
        <f>SUM(B3:G3)</f>
        <v>0</v>
      </c>
    </row>
    <row r="4" spans="1:8" ht="45" x14ac:dyDescent="0.25">
      <c r="A4" s="258" t="s">
        <v>488</v>
      </c>
      <c r="B4" s="117"/>
      <c r="C4" s="117"/>
      <c r="D4" s="117">
        <v>0.34</v>
      </c>
      <c r="E4" s="117">
        <v>0.01</v>
      </c>
      <c r="F4" s="117">
        <v>0.01</v>
      </c>
      <c r="G4" s="117">
        <v>0.56000000000000005</v>
      </c>
      <c r="H4" s="49">
        <f>SUM(B4:G4)</f>
        <v>0.92000000000000015</v>
      </c>
    </row>
    <row r="5" spans="1:8" ht="43.5" customHeight="1" x14ac:dyDescent="0.25">
      <c r="A5" s="258" t="s">
        <v>651</v>
      </c>
      <c r="B5" s="117"/>
      <c r="C5" s="117"/>
      <c r="D5" s="117"/>
      <c r="E5" s="117"/>
      <c r="F5" s="117"/>
      <c r="G5" s="117"/>
      <c r="H5" s="49">
        <f t="shared" ref="H5:H15" si="0">SUM(B5:G5)</f>
        <v>0</v>
      </c>
    </row>
    <row r="6" spans="1:8" ht="30" x14ac:dyDescent="0.25">
      <c r="A6" s="258" t="s">
        <v>490</v>
      </c>
      <c r="B6" s="117"/>
      <c r="C6" s="117"/>
      <c r="D6" s="117">
        <v>0.34</v>
      </c>
      <c r="E6" s="117">
        <v>0.01</v>
      </c>
      <c r="F6" s="117">
        <v>0.01</v>
      </c>
      <c r="G6" s="117">
        <v>0.56000000000000005</v>
      </c>
      <c r="H6" s="49">
        <f>SUM(B6:G6)</f>
        <v>0.92000000000000015</v>
      </c>
    </row>
    <row r="7" spans="1:8" ht="30" x14ac:dyDescent="0.25">
      <c r="A7" s="258" t="s">
        <v>491</v>
      </c>
      <c r="B7" s="117">
        <v>0.01</v>
      </c>
      <c r="C7" s="117">
        <v>0.47</v>
      </c>
      <c r="D7" s="117">
        <v>0.34</v>
      </c>
      <c r="E7" s="117">
        <v>0.01</v>
      </c>
      <c r="F7" s="117">
        <v>0.01</v>
      </c>
      <c r="G7" s="117">
        <v>0.56000000000000005</v>
      </c>
      <c r="H7" s="49">
        <f t="shared" si="0"/>
        <v>1.4000000000000001</v>
      </c>
    </row>
    <row r="8" spans="1:8" ht="30" x14ac:dyDescent="0.25">
      <c r="A8" s="258" t="s">
        <v>652</v>
      </c>
      <c r="B8" s="117">
        <v>0.01</v>
      </c>
      <c r="C8" s="117">
        <v>0.47</v>
      </c>
      <c r="D8" s="117">
        <v>0.34</v>
      </c>
      <c r="E8" s="117">
        <v>0.01</v>
      </c>
      <c r="F8" s="117">
        <v>0.55000000000000004</v>
      </c>
      <c r="G8" s="117">
        <v>0.94</v>
      </c>
      <c r="H8" s="49">
        <f t="shared" si="0"/>
        <v>2.3200000000000003</v>
      </c>
    </row>
    <row r="9" spans="1:8" x14ac:dyDescent="0.25">
      <c r="A9" s="258" t="s">
        <v>534</v>
      </c>
      <c r="B9" s="48"/>
      <c r="C9" s="48"/>
      <c r="D9" s="117">
        <v>0.34</v>
      </c>
      <c r="E9" s="117">
        <v>0.01</v>
      </c>
      <c r="F9" s="117">
        <v>0.08</v>
      </c>
      <c r="G9" s="117">
        <v>0.94</v>
      </c>
      <c r="H9" s="49">
        <f t="shared" si="0"/>
        <v>1.37</v>
      </c>
    </row>
    <row r="10" spans="1:8" x14ac:dyDescent="0.25">
      <c r="A10" s="258" t="s">
        <v>535</v>
      </c>
      <c r="B10" s="117">
        <v>0.01</v>
      </c>
      <c r="C10" s="117">
        <v>0.47</v>
      </c>
      <c r="D10" s="117">
        <v>0.34</v>
      </c>
      <c r="E10" s="117">
        <v>0.01</v>
      </c>
      <c r="F10" s="117">
        <v>0.08</v>
      </c>
      <c r="G10" s="117">
        <v>0.94</v>
      </c>
      <c r="H10" s="49">
        <f t="shared" si="0"/>
        <v>1.85</v>
      </c>
    </row>
    <row r="11" spans="1:8" ht="45" x14ac:dyDescent="0.25">
      <c r="A11" s="258" t="s">
        <v>583</v>
      </c>
      <c r="B11" s="117">
        <v>0.01</v>
      </c>
      <c r="C11" s="117">
        <v>0.47</v>
      </c>
      <c r="D11" s="117">
        <v>0.34</v>
      </c>
      <c r="E11" s="117">
        <v>0.01</v>
      </c>
      <c r="F11" s="117">
        <v>0.04</v>
      </c>
      <c r="G11" s="117">
        <v>0.6</v>
      </c>
      <c r="H11" s="49">
        <f t="shared" si="0"/>
        <v>1.4700000000000002</v>
      </c>
    </row>
    <row r="12" spans="1:8" ht="39.75" customHeight="1" x14ac:dyDescent="0.25">
      <c r="A12" s="258" t="s">
        <v>493</v>
      </c>
      <c r="B12" s="117">
        <v>0.01</v>
      </c>
      <c r="C12" s="117">
        <v>0.47</v>
      </c>
      <c r="D12" s="117">
        <v>0.34</v>
      </c>
      <c r="E12" s="117">
        <v>0.01</v>
      </c>
      <c r="F12" s="117">
        <v>0.04</v>
      </c>
      <c r="G12" s="117">
        <v>0.6</v>
      </c>
      <c r="H12" s="49">
        <f t="shared" si="0"/>
        <v>1.4700000000000002</v>
      </c>
    </row>
    <row r="13" spans="1:8" x14ac:dyDescent="0.25">
      <c r="A13" s="258" t="s">
        <v>525</v>
      </c>
      <c r="B13" s="117">
        <v>0.01</v>
      </c>
      <c r="C13" s="117">
        <v>87.73</v>
      </c>
      <c r="D13" s="117">
        <v>63.58</v>
      </c>
      <c r="E13" s="117">
        <v>0.01</v>
      </c>
      <c r="F13" s="117">
        <v>64.08</v>
      </c>
      <c r="G13" s="117">
        <v>192.92</v>
      </c>
      <c r="H13" s="49">
        <f t="shared" si="0"/>
        <v>408.32999999999993</v>
      </c>
    </row>
    <row r="14" spans="1:8" ht="30" x14ac:dyDescent="0.25">
      <c r="A14" s="258" t="s">
        <v>495</v>
      </c>
      <c r="B14" s="117">
        <v>0.01</v>
      </c>
      <c r="C14" s="117">
        <v>87.73</v>
      </c>
      <c r="D14" s="117">
        <v>63.58</v>
      </c>
      <c r="E14" s="117">
        <v>0.01</v>
      </c>
      <c r="F14" s="117">
        <v>64.08</v>
      </c>
      <c r="G14" s="117">
        <v>192.92</v>
      </c>
      <c r="H14" s="49">
        <f t="shared" si="0"/>
        <v>408.32999999999993</v>
      </c>
    </row>
    <row r="15" spans="1:8" ht="30" x14ac:dyDescent="0.25">
      <c r="A15" s="258" t="s">
        <v>496</v>
      </c>
      <c r="B15" s="117">
        <v>0.01</v>
      </c>
      <c r="C15" s="117">
        <v>87.73</v>
      </c>
      <c r="D15" s="117">
        <v>63.58</v>
      </c>
      <c r="E15" s="117">
        <v>0.01</v>
      </c>
      <c r="F15" s="117">
        <v>64.08</v>
      </c>
      <c r="G15" s="117">
        <v>192.92</v>
      </c>
      <c r="H15" s="49">
        <f t="shared" si="0"/>
        <v>408.32999999999993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showGridLines="0" zoomScale="80" zoomScaleNormal="80" workbookViewId="0">
      <selection activeCell="F9" sqref="F9"/>
    </sheetView>
  </sheetViews>
  <sheetFormatPr defaultRowHeight="15" x14ac:dyDescent="0.25"/>
  <cols>
    <col min="1" max="2" width="15.7109375" customWidth="1"/>
    <col min="3" max="3" width="19.42578125" customWidth="1"/>
    <col min="4" max="4" width="24.42578125" customWidth="1"/>
    <col min="5" max="5" width="32.140625" customWidth="1"/>
    <col min="6" max="6" width="18.42578125" customWidth="1"/>
    <col min="7" max="7" width="23.42578125" customWidth="1"/>
    <col min="8" max="9" width="4.5703125" customWidth="1"/>
    <col min="10" max="10" width="13.28515625" customWidth="1"/>
    <col min="11" max="16" width="4.5703125" customWidth="1"/>
    <col min="17" max="17" width="3.28515625" customWidth="1"/>
    <col min="18" max="19" width="4.5703125" customWidth="1"/>
  </cols>
  <sheetData>
    <row r="1" spans="1:14" ht="30" customHeight="1" x14ac:dyDescent="0.25">
      <c r="A1" s="681" t="s">
        <v>880</v>
      </c>
      <c r="B1" s="682"/>
      <c r="C1" s="682"/>
      <c r="D1" s="682"/>
      <c r="E1" s="682"/>
      <c r="F1" s="682"/>
      <c r="G1" s="683"/>
      <c r="H1" s="394"/>
      <c r="I1" s="394"/>
      <c r="J1" s="394"/>
      <c r="K1" s="394"/>
      <c r="L1" s="394"/>
      <c r="M1" s="394"/>
      <c r="N1" s="394"/>
    </row>
    <row r="2" spans="1:14" ht="22.5" customHeight="1" x14ac:dyDescent="0.25">
      <c r="A2" s="655" t="s">
        <v>881</v>
      </c>
      <c r="B2" s="656"/>
      <c r="C2" s="656"/>
      <c r="D2" s="656"/>
      <c r="E2" s="656"/>
      <c r="F2" s="656"/>
      <c r="G2" s="684"/>
      <c r="H2" s="394"/>
      <c r="I2" s="394"/>
      <c r="J2" s="394"/>
      <c r="K2" s="394"/>
      <c r="L2" s="394"/>
      <c r="M2" s="394"/>
      <c r="N2" s="394"/>
    </row>
    <row r="3" spans="1:14" ht="24" customHeight="1" x14ac:dyDescent="0.25">
      <c r="A3" s="655" t="s">
        <v>882</v>
      </c>
      <c r="B3" s="656"/>
      <c r="C3" s="656"/>
      <c r="D3" s="656"/>
      <c r="E3" s="656"/>
      <c r="F3" s="656"/>
      <c r="G3" s="684"/>
      <c r="H3" s="394"/>
      <c r="I3" s="394"/>
      <c r="J3" s="394"/>
      <c r="K3" s="394"/>
      <c r="L3" s="394"/>
      <c r="M3" s="394"/>
      <c r="N3" s="394"/>
    </row>
    <row r="4" spans="1:14" ht="15.75" customHeight="1" thickBot="1" x14ac:dyDescent="0.3">
      <c r="A4" s="685" t="s">
        <v>883</v>
      </c>
      <c r="B4" s="686"/>
      <c r="C4" s="686"/>
      <c r="D4" s="686"/>
      <c r="E4" s="686"/>
      <c r="F4" s="686"/>
      <c r="G4" s="687"/>
      <c r="H4" s="394"/>
      <c r="I4" s="394"/>
      <c r="J4" s="394"/>
      <c r="K4" s="394"/>
      <c r="L4" s="394"/>
      <c r="M4" s="394"/>
      <c r="N4" s="394"/>
    </row>
    <row r="5" spans="1:14" ht="23.25" customHeight="1" x14ac:dyDescent="0.25">
      <c r="A5" s="697"/>
      <c r="B5" s="698"/>
      <c r="C5" s="698"/>
      <c r="D5" s="698"/>
      <c r="E5" s="698"/>
      <c r="F5" s="698"/>
      <c r="G5" s="699"/>
    </row>
    <row r="6" spans="1:14" ht="23.25" customHeight="1" x14ac:dyDescent="0.25">
      <c r="A6" s="700" t="s">
        <v>449</v>
      </c>
      <c r="B6" s="701"/>
      <c r="C6" s="701"/>
      <c r="D6" s="701"/>
      <c r="E6" s="701"/>
      <c r="F6" s="701"/>
      <c r="G6" s="702"/>
    </row>
    <row r="7" spans="1:14" ht="23.25" customHeight="1" thickBot="1" x14ac:dyDescent="0.3">
      <c r="A7" s="691" t="s">
        <v>33</v>
      </c>
      <c r="B7" s="692"/>
      <c r="C7" s="693"/>
      <c r="D7" s="693"/>
      <c r="E7" s="693"/>
      <c r="F7" s="693"/>
      <c r="G7" s="694"/>
    </row>
    <row r="8" spans="1:14" ht="20.25" customHeight="1" thickTop="1" x14ac:dyDescent="0.25">
      <c r="A8" s="138" t="s">
        <v>25</v>
      </c>
      <c r="B8" s="242"/>
      <c r="C8" s="139" t="s">
        <v>3</v>
      </c>
      <c r="D8" s="139" t="s">
        <v>34</v>
      </c>
      <c r="E8" s="140" t="s">
        <v>25</v>
      </c>
      <c r="F8" s="139" t="s">
        <v>3</v>
      </c>
      <c r="G8" s="141" t="s">
        <v>34</v>
      </c>
    </row>
    <row r="9" spans="1:14" ht="24" customHeight="1" x14ac:dyDescent="0.25">
      <c r="A9" s="695" t="s">
        <v>7</v>
      </c>
      <c r="B9" s="695"/>
      <c r="C9" s="446">
        <v>2</v>
      </c>
      <c r="D9" s="447">
        <f t="shared" ref="D9:D14" si="0">C9</f>
        <v>2</v>
      </c>
      <c r="E9" s="326" t="s">
        <v>9</v>
      </c>
      <c r="F9" s="392">
        <v>2</v>
      </c>
      <c r="G9" s="452">
        <f t="shared" ref="G9:G14" si="1">F9</f>
        <v>2</v>
      </c>
    </row>
    <row r="10" spans="1:14" ht="24" customHeight="1" x14ac:dyDescent="0.25">
      <c r="A10" s="696" t="s">
        <v>1</v>
      </c>
      <c r="B10" s="696"/>
      <c r="C10" s="448">
        <v>3</v>
      </c>
      <c r="D10" s="447">
        <f t="shared" si="0"/>
        <v>3</v>
      </c>
      <c r="E10" s="327" t="s">
        <v>564</v>
      </c>
      <c r="F10" s="392">
        <f>'Qdade . Operários'!T14</f>
        <v>0</v>
      </c>
      <c r="G10" s="452">
        <f t="shared" si="1"/>
        <v>0</v>
      </c>
    </row>
    <row r="11" spans="1:14" ht="24" customHeight="1" x14ac:dyDescent="0.25">
      <c r="A11" s="696" t="s">
        <v>6</v>
      </c>
      <c r="B11" s="696"/>
      <c r="C11" s="446">
        <v>0</v>
      </c>
      <c r="D11" s="447">
        <f t="shared" si="0"/>
        <v>0</v>
      </c>
      <c r="E11" s="327" t="s">
        <v>642</v>
      </c>
      <c r="F11" s="446">
        <v>0</v>
      </c>
      <c r="G11" s="452">
        <f t="shared" si="1"/>
        <v>0</v>
      </c>
    </row>
    <row r="12" spans="1:14" ht="23.25" customHeight="1" x14ac:dyDescent="0.25">
      <c r="A12" s="696" t="s">
        <v>563</v>
      </c>
      <c r="B12" s="696"/>
      <c r="C12" s="449">
        <f>'Qdade . Operários'!T10</f>
        <v>0</v>
      </c>
      <c r="D12" s="447">
        <f t="shared" si="0"/>
        <v>0</v>
      </c>
      <c r="E12" s="327" t="s">
        <v>643</v>
      </c>
      <c r="F12" s="448">
        <v>0</v>
      </c>
      <c r="G12" s="452">
        <f t="shared" si="1"/>
        <v>0</v>
      </c>
    </row>
    <row r="13" spans="1:14" ht="24" customHeight="1" x14ac:dyDescent="0.25">
      <c r="A13" s="696" t="s">
        <v>641</v>
      </c>
      <c r="B13" s="696"/>
      <c r="C13" s="392">
        <v>0</v>
      </c>
      <c r="D13" s="447">
        <f t="shared" si="0"/>
        <v>0</v>
      </c>
      <c r="E13" s="327" t="s">
        <v>0</v>
      </c>
      <c r="F13" s="392">
        <v>1</v>
      </c>
      <c r="G13" s="452">
        <f t="shared" si="1"/>
        <v>1</v>
      </c>
    </row>
    <row r="14" spans="1:14" ht="24" customHeight="1" x14ac:dyDescent="0.25">
      <c r="A14" s="696" t="s">
        <v>380</v>
      </c>
      <c r="B14" s="696"/>
      <c r="C14" s="449">
        <f>'Qdade . Operários'!T18</f>
        <v>0</v>
      </c>
      <c r="D14" s="447">
        <f t="shared" si="0"/>
        <v>0</v>
      </c>
      <c r="E14" s="327" t="s">
        <v>379</v>
      </c>
      <c r="F14" s="392">
        <v>0</v>
      </c>
      <c r="G14" s="452">
        <f t="shared" si="1"/>
        <v>0</v>
      </c>
    </row>
    <row r="15" spans="1:14" ht="23.25" customHeight="1" x14ac:dyDescent="0.25">
      <c r="A15" s="321" t="s">
        <v>497</v>
      </c>
      <c r="B15" s="321"/>
      <c r="C15" s="450">
        <f>SUM(C9:C14)</f>
        <v>5</v>
      </c>
      <c r="D15" s="451">
        <f>SUM(D9:D14)</f>
        <v>5</v>
      </c>
      <c r="E15" s="321" t="s">
        <v>497</v>
      </c>
      <c r="F15" s="450">
        <f>SUM(F9:F14)</f>
        <v>3</v>
      </c>
      <c r="G15" s="451">
        <f>SUM(G9:G14)</f>
        <v>3</v>
      </c>
    </row>
    <row r="16" spans="1:14" ht="15.75" hidden="1" x14ac:dyDescent="0.25">
      <c r="A16" s="688" t="s">
        <v>169</v>
      </c>
      <c r="B16" s="689"/>
      <c r="C16" s="689"/>
      <c r="D16" s="689"/>
      <c r="E16" s="690"/>
    </row>
    <row r="17" spans="1:7" ht="15" hidden="1" customHeight="1" x14ac:dyDescent="0.25">
      <c r="A17" s="22" t="s">
        <v>170</v>
      </c>
      <c r="B17" s="243"/>
      <c r="C17" s="135"/>
      <c r="D17" s="135" t="s">
        <v>13</v>
      </c>
      <c r="E17" s="23" t="e">
        <f>IF(#REF!&gt;180,ROUNDUP((#REF!/180),0)*#REF!,#REF!)</f>
        <v>#REF!</v>
      </c>
    </row>
    <row r="18" spans="1:7" ht="30" hidden="1" customHeight="1" x14ac:dyDescent="0.25">
      <c r="A18" s="24" t="s">
        <v>24</v>
      </c>
      <c r="B18" s="244"/>
      <c r="C18" s="136"/>
      <c r="D18" s="136" t="s">
        <v>14</v>
      </c>
      <c r="E18" s="25" t="e">
        <f>IF(#REF!&gt;180,ROUNDUP((#REF!/180),0)*#REF!,#REF!)</f>
        <v>#REF!</v>
      </c>
    </row>
    <row r="19" spans="1:7" ht="15.75" hidden="1" customHeight="1" thickBot="1" x14ac:dyDescent="0.3">
      <c r="A19" s="24" t="s">
        <v>10</v>
      </c>
      <c r="B19" s="244"/>
      <c r="C19" s="136"/>
      <c r="D19" s="137"/>
      <c r="E19" s="26"/>
    </row>
    <row r="20" spans="1:7" ht="15.75" hidden="1" customHeight="1" thickBot="1" x14ac:dyDescent="0.3">
      <c r="A20" s="184" t="s">
        <v>11</v>
      </c>
      <c r="B20" s="245"/>
      <c r="C20" s="185"/>
      <c r="D20" s="38" t="s">
        <v>26</v>
      </c>
      <c r="E20" s="186" t="e">
        <f>#REF!+#REF!+#REF!+#REF!+#REF!+#REF!+#REF!+#REF!+E17+E18</f>
        <v>#REF!</v>
      </c>
    </row>
    <row r="21" spans="1:7" ht="23.25" customHeight="1" x14ac:dyDescent="0.25">
      <c r="A21" s="217" t="s">
        <v>26</v>
      </c>
      <c r="B21" s="246"/>
      <c r="C21" s="187"/>
      <c r="D21" s="187"/>
      <c r="E21" s="187"/>
      <c r="F21" s="187"/>
      <c r="G21" s="453">
        <f>D15+F15</f>
        <v>8</v>
      </c>
    </row>
  </sheetData>
  <sheetProtection selectLockedCells="1"/>
  <mergeCells count="14">
    <mergeCell ref="A1:G1"/>
    <mergeCell ref="A2:G2"/>
    <mergeCell ref="A3:G3"/>
    <mergeCell ref="A4:G4"/>
    <mergeCell ref="A16:E16"/>
    <mergeCell ref="A7:G7"/>
    <mergeCell ref="A9:B9"/>
    <mergeCell ref="A10:B10"/>
    <mergeCell ref="A11:B11"/>
    <mergeCell ref="A12:B12"/>
    <mergeCell ref="A13:B13"/>
    <mergeCell ref="A14:B14"/>
    <mergeCell ref="A5:G5"/>
    <mergeCell ref="A6:G6"/>
  </mergeCells>
  <phoneticPr fontId="0" type="noConversion"/>
  <printOptions horizontalCentered="1"/>
  <pageMargins left="0.31496062992125984" right="0.31496062992125984" top="0.59055118110236227" bottom="0.59055118110236227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4" workbookViewId="0">
      <selection activeCell="D19" sqref="D19:E19"/>
    </sheetView>
  </sheetViews>
  <sheetFormatPr defaultRowHeight="15" x14ac:dyDescent="0.25"/>
  <cols>
    <col min="2" max="2" width="4.42578125" customWidth="1"/>
    <col min="3" max="3" width="50.140625" bestFit="1" customWidth="1"/>
  </cols>
  <sheetData>
    <row r="1" spans="1:8" ht="15.75" x14ac:dyDescent="0.25">
      <c r="A1" s="65"/>
      <c r="B1" s="707" t="s">
        <v>171</v>
      </c>
      <c r="C1" s="708"/>
      <c r="D1" s="708"/>
      <c r="E1" s="709"/>
      <c r="F1" s="65"/>
      <c r="G1" s="65"/>
      <c r="H1" s="65"/>
    </row>
    <row r="2" spans="1:8" ht="15.75" x14ac:dyDescent="0.25">
      <c r="A2" s="65"/>
      <c r="B2" s="710" t="s">
        <v>681</v>
      </c>
      <c r="C2" s="711"/>
      <c r="D2" s="711"/>
      <c r="E2" s="712"/>
      <c r="F2" s="65"/>
      <c r="G2" s="65"/>
      <c r="H2" s="65"/>
    </row>
    <row r="3" spans="1:8" ht="15.75" x14ac:dyDescent="0.25">
      <c r="A3" s="65"/>
      <c r="B3" s="710" t="s">
        <v>758</v>
      </c>
      <c r="C3" s="711"/>
      <c r="D3" s="711"/>
      <c r="E3" s="712"/>
    </row>
    <row r="4" spans="1:8" x14ac:dyDescent="0.25">
      <c r="B4" s="716" t="s">
        <v>762</v>
      </c>
      <c r="C4" s="717"/>
      <c r="D4" s="717"/>
      <c r="E4" s="718"/>
    </row>
    <row r="5" spans="1:8" ht="15.75" thickBot="1" x14ac:dyDescent="0.3">
      <c r="B5" s="713" t="s">
        <v>381</v>
      </c>
      <c r="C5" s="714"/>
      <c r="D5" s="714"/>
      <c r="E5" s="715"/>
    </row>
    <row r="6" spans="1:8" ht="15.75" thickBot="1" x14ac:dyDescent="0.3">
      <c r="B6" s="703" t="s">
        <v>428</v>
      </c>
      <c r="C6" s="720"/>
      <c r="D6" s="720"/>
      <c r="E6" s="99">
        <v>0</v>
      </c>
    </row>
    <row r="7" spans="1:8" x14ac:dyDescent="0.25">
      <c r="B7" s="98" t="s">
        <v>426</v>
      </c>
      <c r="C7" s="86" t="s">
        <v>427</v>
      </c>
      <c r="D7" s="86" t="s">
        <v>385</v>
      </c>
      <c r="E7" s="52">
        <v>0</v>
      </c>
    </row>
    <row r="8" spans="1:8" x14ac:dyDescent="0.25">
      <c r="B8" s="92" t="s">
        <v>384</v>
      </c>
      <c r="C8" s="88" t="s">
        <v>757</v>
      </c>
      <c r="D8" s="88" t="s">
        <v>383</v>
      </c>
      <c r="E8" s="51">
        <v>0</v>
      </c>
    </row>
    <row r="9" spans="1:8" x14ac:dyDescent="0.25">
      <c r="B9" s="91" t="s">
        <v>386</v>
      </c>
      <c r="C9" s="86" t="s">
        <v>387</v>
      </c>
      <c r="D9" s="86" t="s">
        <v>388</v>
      </c>
      <c r="E9" s="287">
        <v>0</v>
      </c>
    </row>
    <row r="10" spans="1:8" x14ac:dyDescent="0.25">
      <c r="B10" s="91" t="s">
        <v>389</v>
      </c>
      <c r="C10" s="86" t="s">
        <v>390</v>
      </c>
      <c r="D10" s="86" t="s">
        <v>391</v>
      </c>
      <c r="E10" s="72">
        <v>220</v>
      </c>
    </row>
    <row r="11" spans="1:8" x14ac:dyDescent="0.25">
      <c r="B11" s="91" t="s">
        <v>392</v>
      </c>
      <c r="C11" s="86" t="s">
        <v>393</v>
      </c>
      <c r="D11" s="86" t="s">
        <v>394</v>
      </c>
      <c r="E11" s="52">
        <f>E8/E10</f>
        <v>0</v>
      </c>
    </row>
    <row r="12" spans="1:8" x14ac:dyDescent="0.25">
      <c r="B12" s="91" t="s">
        <v>392</v>
      </c>
      <c r="C12" s="86" t="s">
        <v>395</v>
      </c>
      <c r="D12" s="86" t="s">
        <v>396</v>
      </c>
      <c r="E12" s="52">
        <f>22*4</f>
        <v>88</v>
      </c>
    </row>
    <row r="13" spans="1:8" x14ac:dyDescent="0.25">
      <c r="B13" s="91" t="s">
        <v>397</v>
      </c>
      <c r="C13" s="86" t="s">
        <v>398</v>
      </c>
      <c r="D13" s="86" t="s">
        <v>399</v>
      </c>
      <c r="E13" s="52">
        <f>(E11*0.5)</f>
        <v>0</v>
      </c>
    </row>
    <row r="14" spans="1:8" x14ac:dyDescent="0.25">
      <c r="B14" s="91" t="s">
        <v>400</v>
      </c>
      <c r="C14" s="86" t="s">
        <v>401</v>
      </c>
      <c r="D14" s="86" t="s">
        <v>402</v>
      </c>
      <c r="E14" s="100">
        <f>E12*E13</f>
        <v>0</v>
      </c>
    </row>
    <row r="15" spans="1:8" x14ac:dyDescent="0.25">
      <c r="B15" s="97" t="s">
        <v>403</v>
      </c>
      <c r="C15" s="86" t="s">
        <v>404</v>
      </c>
      <c r="D15" s="89" t="s">
        <v>405</v>
      </c>
      <c r="E15" s="87">
        <f>((30*12)-(E10+E12))</f>
        <v>52</v>
      </c>
    </row>
    <row r="16" spans="1:8" x14ac:dyDescent="0.25">
      <c r="B16" s="91" t="s">
        <v>406</v>
      </c>
      <c r="C16" s="86" t="s">
        <v>407</v>
      </c>
      <c r="D16" s="86" t="s">
        <v>408</v>
      </c>
      <c r="E16" s="52">
        <f>E11</f>
        <v>0</v>
      </c>
    </row>
    <row r="17" spans="2:9" x14ac:dyDescent="0.25">
      <c r="B17" s="50" t="s">
        <v>409</v>
      </c>
      <c r="C17" s="86" t="s">
        <v>410</v>
      </c>
      <c r="D17" s="86" t="s">
        <v>411</v>
      </c>
      <c r="E17" s="100">
        <f>E15*E16</f>
        <v>0</v>
      </c>
    </row>
    <row r="18" spans="2:9" ht="15.75" thickBot="1" x14ac:dyDescent="0.3">
      <c r="B18" s="726" t="s">
        <v>412</v>
      </c>
      <c r="C18" s="727"/>
      <c r="D18" s="728">
        <v>0</v>
      </c>
      <c r="E18" s="729"/>
    </row>
    <row r="19" spans="2:9" ht="15.75" thickBot="1" x14ac:dyDescent="0.3">
      <c r="B19" s="703" t="s">
        <v>429</v>
      </c>
      <c r="C19" s="704"/>
      <c r="D19" s="703">
        <f>D18+(D18*'Pes. Admin.'!N3/100)</f>
        <v>0</v>
      </c>
      <c r="E19" s="704"/>
      <c r="G19" s="46"/>
    </row>
    <row r="20" spans="2:9" ht="15.75" thickBot="1" x14ac:dyDescent="0.3">
      <c r="B20" s="113" t="s">
        <v>436</v>
      </c>
      <c r="C20" s="114"/>
      <c r="D20" s="740">
        <f>'Pes. Admin.'!M23</f>
        <v>0</v>
      </c>
      <c r="E20" s="741"/>
      <c r="G20" s="46"/>
    </row>
    <row r="21" spans="2:9" x14ac:dyDescent="0.25">
      <c r="B21" s="723"/>
      <c r="C21" s="724"/>
      <c r="D21" s="724"/>
      <c r="E21" s="725"/>
    </row>
    <row r="22" spans="2:9" ht="15.75" thickBot="1" x14ac:dyDescent="0.3">
      <c r="B22" s="730"/>
      <c r="C22" s="731"/>
      <c r="D22" s="731"/>
      <c r="E22" s="732"/>
    </row>
    <row r="23" spans="2:9" ht="15.75" thickBot="1" x14ac:dyDescent="0.3">
      <c r="B23" s="733" t="s">
        <v>413</v>
      </c>
      <c r="C23" s="734"/>
      <c r="D23" s="734"/>
      <c r="E23" s="735"/>
    </row>
    <row r="24" spans="2:9" x14ac:dyDescent="0.25">
      <c r="B24" s="92" t="s">
        <v>382</v>
      </c>
      <c r="C24" s="88" t="s">
        <v>390</v>
      </c>
      <c r="D24" s="88" t="s">
        <v>391</v>
      </c>
      <c r="E24" s="90">
        <v>180</v>
      </c>
    </row>
    <row r="25" spans="2:9" x14ac:dyDescent="0.25">
      <c r="B25" s="91" t="s">
        <v>384</v>
      </c>
      <c r="C25" s="86" t="s">
        <v>414</v>
      </c>
      <c r="D25" s="86" t="s">
        <v>394</v>
      </c>
      <c r="E25" s="52">
        <f>E8/E24</f>
        <v>0</v>
      </c>
    </row>
    <row r="26" spans="2:9" x14ac:dyDescent="0.25">
      <c r="B26" s="91" t="s">
        <v>386</v>
      </c>
      <c r="C26" s="86" t="s">
        <v>415</v>
      </c>
      <c r="D26" s="86" t="s">
        <v>416</v>
      </c>
      <c r="E26" s="52">
        <f>0.2*E25</f>
        <v>0</v>
      </c>
    </row>
    <row r="27" spans="2:9" x14ac:dyDescent="0.25">
      <c r="B27" s="91" t="s">
        <v>389</v>
      </c>
      <c r="C27" s="86" t="s">
        <v>417</v>
      </c>
      <c r="D27" s="86" t="s">
        <v>418</v>
      </c>
      <c r="E27" s="52">
        <f>15*8</f>
        <v>120</v>
      </c>
      <c r="F27" s="293" t="s">
        <v>620</v>
      </c>
      <c r="G27" s="39">
        <f>7*15</f>
        <v>105</v>
      </c>
      <c r="H27" t="s">
        <v>319</v>
      </c>
    </row>
    <row r="28" spans="2:9" x14ac:dyDescent="0.25">
      <c r="B28" s="91" t="s">
        <v>392</v>
      </c>
      <c r="C28" s="86" t="s">
        <v>419</v>
      </c>
      <c r="D28" s="86" t="s">
        <v>420</v>
      </c>
      <c r="E28" s="100">
        <f>E27*E26</f>
        <v>0</v>
      </c>
    </row>
    <row r="29" spans="2:9" ht="15.75" thickBot="1" x14ac:dyDescent="0.3">
      <c r="B29" s="736" t="s">
        <v>421</v>
      </c>
      <c r="C29" s="737"/>
      <c r="D29" s="738">
        <v>0</v>
      </c>
      <c r="E29" s="739"/>
      <c r="F29" t="s">
        <v>621</v>
      </c>
      <c r="G29">
        <f>G27*(E25+E26)</f>
        <v>0</v>
      </c>
    </row>
    <row r="30" spans="2:9" ht="15.75" thickBot="1" x14ac:dyDescent="0.3">
      <c r="B30" s="721" t="s">
        <v>429</v>
      </c>
      <c r="C30" s="722"/>
      <c r="D30" s="721">
        <v>0</v>
      </c>
      <c r="E30" s="722"/>
      <c r="F30" s="703">
        <v>0</v>
      </c>
      <c r="G30" s="704"/>
      <c r="H30" s="705"/>
      <c r="I30" s="706"/>
    </row>
    <row r="31" spans="2:9" ht="15.75" thickBot="1" x14ac:dyDescent="0.3">
      <c r="B31" s="719" t="s">
        <v>436</v>
      </c>
      <c r="C31" s="719"/>
      <c r="D31" s="719">
        <v>0</v>
      </c>
      <c r="E31" s="719"/>
    </row>
  </sheetData>
  <mergeCells count="22">
    <mergeCell ref="D31:E31"/>
    <mergeCell ref="B31:C31"/>
    <mergeCell ref="B6:D6"/>
    <mergeCell ref="B19:C19"/>
    <mergeCell ref="D19:E19"/>
    <mergeCell ref="B30:C30"/>
    <mergeCell ref="D30:E30"/>
    <mergeCell ref="B21:E21"/>
    <mergeCell ref="B18:C18"/>
    <mergeCell ref="D18:E18"/>
    <mergeCell ref="B22:E22"/>
    <mergeCell ref="B23:E23"/>
    <mergeCell ref="B29:C29"/>
    <mergeCell ref="D29:E29"/>
    <mergeCell ref="D20:E20"/>
    <mergeCell ref="F30:G30"/>
    <mergeCell ref="H30:I30"/>
    <mergeCell ref="B1:E1"/>
    <mergeCell ref="B2:E2"/>
    <mergeCell ref="B3:E3"/>
    <mergeCell ref="B5:E5"/>
    <mergeCell ref="B4:E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5"/>
  <sheetViews>
    <sheetView showGridLines="0" topLeftCell="A7" zoomScale="70" zoomScaleNormal="70" workbookViewId="0">
      <selection activeCell="C13" sqref="C13"/>
    </sheetView>
  </sheetViews>
  <sheetFormatPr defaultRowHeight="15" x14ac:dyDescent="0.25"/>
  <cols>
    <col min="1" max="1" width="4.42578125" customWidth="1"/>
    <col min="2" max="2" width="35.7109375" customWidth="1"/>
    <col min="3" max="3" width="10.7109375" customWidth="1"/>
    <col min="4" max="4" width="10.85546875" customWidth="1"/>
    <col min="5" max="5" width="12.5703125" customWidth="1"/>
    <col min="6" max="8" width="12.7109375" customWidth="1"/>
    <col min="9" max="9" width="12.85546875" customWidth="1"/>
    <col min="10" max="11" width="12.7109375" customWidth="1"/>
    <col min="12" max="12" width="12.5703125" customWidth="1"/>
    <col min="13" max="14" width="13.5703125" customWidth="1"/>
    <col min="15" max="15" width="2.7109375" customWidth="1"/>
    <col min="16" max="16" width="15.7109375" customWidth="1"/>
    <col min="17" max="17" width="10.85546875" customWidth="1"/>
    <col min="18" max="18" width="12.5703125" customWidth="1"/>
    <col min="19" max="19" width="14.85546875" customWidth="1"/>
    <col min="20" max="20" width="3.28515625" customWidth="1"/>
    <col min="21" max="21" width="11" customWidth="1"/>
    <col min="24" max="25" width="12.5703125" customWidth="1"/>
    <col min="26" max="26" width="11" customWidth="1"/>
    <col min="27" max="27" width="11.7109375" customWidth="1"/>
  </cols>
  <sheetData>
    <row r="1" spans="1:29" ht="31.5" customHeight="1" x14ac:dyDescent="0.3">
      <c r="A1" s="749"/>
      <c r="B1" s="750"/>
      <c r="C1" s="755" t="s">
        <v>171</v>
      </c>
      <c r="D1" s="755"/>
      <c r="E1" s="755"/>
      <c r="F1" s="755"/>
      <c r="G1" s="755"/>
      <c r="H1" s="755"/>
      <c r="I1" s="755"/>
      <c r="J1" s="755"/>
      <c r="K1" s="755"/>
      <c r="L1" s="755"/>
      <c r="M1" s="272" t="s">
        <v>197</v>
      </c>
      <c r="N1" s="378" t="s">
        <v>895</v>
      </c>
      <c r="P1" s="746" t="s">
        <v>898</v>
      </c>
      <c r="Q1" s="747"/>
      <c r="R1" s="747"/>
      <c r="S1" s="748"/>
      <c r="U1" s="380"/>
      <c r="V1" s="380"/>
      <c r="W1" s="380"/>
      <c r="X1" s="381" t="s">
        <v>899</v>
      </c>
      <c r="Y1" s="380"/>
      <c r="Z1" s="380"/>
      <c r="AA1" s="380"/>
      <c r="AB1" s="380"/>
    </row>
    <row r="2" spans="1:29" ht="28.5" customHeight="1" x14ac:dyDescent="0.3">
      <c r="A2" s="751"/>
      <c r="B2" s="752"/>
      <c r="C2" s="752" t="s">
        <v>681</v>
      </c>
      <c r="D2" s="752"/>
      <c r="E2" s="752"/>
      <c r="F2" s="752"/>
      <c r="G2" s="752"/>
      <c r="H2" s="752"/>
      <c r="I2" s="752"/>
      <c r="J2" s="752"/>
      <c r="K2" s="752"/>
      <c r="L2" s="752"/>
      <c r="M2" s="45" t="s">
        <v>198</v>
      </c>
      <c r="N2" s="591">
        <v>84.61</v>
      </c>
      <c r="P2" s="759" t="s">
        <v>655</v>
      </c>
      <c r="Q2" s="761" t="s">
        <v>626</v>
      </c>
      <c r="R2" s="757" t="s">
        <v>621</v>
      </c>
      <c r="S2" s="758"/>
      <c r="U2" s="48"/>
      <c r="V2" s="117" t="s">
        <v>671</v>
      </c>
      <c r="W2" s="117" t="s">
        <v>357</v>
      </c>
      <c r="X2" s="117" t="s">
        <v>552</v>
      </c>
      <c r="Y2" s="117" t="s">
        <v>646</v>
      </c>
      <c r="Z2" s="117" t="s">
        <v>672</v>
      </c>
      <c r="AA2" s="117" t="s">
        <v>648</v>
      </c>
      <c r="AB2" s="117" t="s">
        <v>673</v>
      </c>
    </row>
    <row r="3" spans="1:29" ht="28.5" customHeight="1" x14ac:dyDescent="0.3">
      <c r="A3" s="751"/>
      <c r="B3" s="752"/>
      <c r="C3" s="752" t="s">
        <v>758</v>
      </c>
      <c r="D3" s="752"/>
      <c r="E3" s="752"/>
      <c r="F3" s="752"/>
      <c r="G3" s="752"/>
      <c r="H3" s="752"/>
      <c r="I3" s="752"/>
      <c r="J3" s="752"/>
      <c r="K3" s="752"/>
      <c r="L3" s="752"/>
      <c r="M3" s="45" t="s">
        <v>199</v>
      </c>
      <c r="N3" s="592">
        <v>47.7</v>
      </c>
      <c r="P3" s="760"/>
      <c r="Q3" s="762"/>
      <c r="R3" s="294" t="s">
        <v>625</v>
      </c>
      <c r="S3" s="295" t="s">
        <v>668</v>
      </c>
      <c r="U3" s="258" t="s">
        <v>494</v>
      </c>
      <c r="V3" s="117"/>
      <c r="W3" s="117"/>
      <c r="X3" s="117"/>
      <c r="Y3" s="117"/>
      <c r="Z3" s="117"/>
      <c r="AA3" s="117"/>
      <c r="AB3" s="49"/>
    </row>
    <row r="4" spans="1:29" ht="29.25" customHeight="1" x14ac:dyDescent="0.25">
      <c r="A4" s="751"/>
      <c r="B4" s="752"/>
      <c r="C4" s="756" t="s">
        <v>883</v>
      </c>
      <c r="D4" s="756"/>
      <c r="E4" s="756"/>
      <c r="F4" s="756"/>
      <c r="G4" s="756"/>
      <c r="H4" s="756"/>
      <c r="I4" s="756"/>
      <c r="J4" s="756"/>
      <c r="K4" s="756"/>
      <c r="L4" s="756"/>
      <c r="M4" s="260" t="s">
        <v>577</v>
      </c>
      <c r="N4" s="592">
        <v>1320</v>
      </c>
      <c r="P4" s="763" t="s">
        <v>566</v>
      </c>
      <c r="Q4" s="296" t="s">
        <v>567</v>
      </c>
      <c r="R4" s="597">
        <v>1.45</v>
      </c>
      <c r="S4" s="598"/>
      <c r="U4" s="258" t="s">
        <v>488</v>
      </c>
      <c r="V4" s="117"/>
      <c r="W4" s="117"/>
      <c r="X4" s="117">
        <v>1.1399999999999999</v>
      </c>
      <c r="Y4" s="117">
        <v>0.01</v>
      </c>
      <c r="Z4" s="117">
        <v>0.01</v>
      </c>
      <c r="AA4" s="117">
        <v>0.71</v>
      </c>
      <c r="AB4" s="340">
        <f>SUM(V4:AA4)</f>
        <v>1.8699999999999999</v>
      </c>
      <c r="AC4" t="s">
        <v>625</v>
      </c>
    </row>
    <row r="5" spans="1:29" ht="29.25" customHeight="1" x14ac:dyDescent="0.3">
      <c r="A5" s="330"/>
      <c r="B5" s="331"/>
      <c r="C5" s="332"/>
      <c r="D5" s="332"/>
      <c r="E5" s="332"/>
      <c r="F5" s="332"/>
      <c r="G5" s="332" t="s">
        <v>519</v>
      </c>
      <c r="H5" s="332"/>
      <c r="I5" s="332"/>
      <c r="J5" s="332"/>
      <c r="K5" s="332"/>
      <c r="L5" s="332"/>
      <c r="M5" s="260"/>
      <c r="N5" s="379"/>
      <c r="P5" s="763"/>
      <c r="Q5" s="296"/>
      <c r="R5" s="597"/>
      <c r="S5" s="598"/>
      <c r="U5" s="258" t="s">
        <v>488</v>
      </c>
      <c r="V5" s="117"/>
      <c r="W5" s="117"/>
      <c r="X5" s="117">
        <v>215.56</v>
      </c>
      <c r="Y5" s="117">
        <v>0.01</v>
      </c>
      <c r="Z5" s="117">
        <v>2.54</v>
      </c>
      <c r="AA5" s="117">
        <v>133.44999999999999</v>
      </c>
      <c r="AB5" s="340">
        <f>SUM(V5:AA5)</f>
        <v>351.55999999999995</v>
      </c>
      <c r="AC5" t="s">
        <v>668</v>
      </c>
    </row>
    <row r="6" spans="1:29" ht="28.5" customHeight="1" x14ac:dyDescent="0.25">
      <c r="A6" s="753" t="s">
        <v>161</v>
      </c>
      <c r="B6" s="754"/>
      <c r="C6" s="743" t="s">
        <v>885</v>
      </c>
      <c r="D6" s="743"/>
      <c r="E6" s="743"/>
      <c r="F6" s="743"/>
      <c r="G6" s="743"/>
      <c r="H6" s="743"/>
      <c r="I6" s="743"/>
      <c r="J6" s="743"/>
      <c r="K6" s="743"/>
      <c r="L6" s="743"/>
      <c r="M6" s="260" t="s">
        <v>896</v>
      </c>
      <c r="N6" s="593">
        <v>8.3699999999999992</v>
      </c>
      <c r="P6" s="763"/>
      <c r="Q6" s="296">
        <v>95415</v>
      </c>
      <c r="R6" s="597"/>
      <c r="S6" s="599">
        <v>177.84</v>
      </c>
      <c r="U6" s="258" t="s">
        <v>651</v>
      </c>
      <c r="V6" s="117"/>
      <c r="W6" s="117"/>
      <c r="X6" s="117"/>
      <c r="Y6" s="117"/>
      <c r="Z6" s="117"/>
      <c r="AA6" s="117"/>
      <c r="AB6" s="340">
        <f t="shared" ref="AB6:AB18" si="0">SUM(V6:AA6)</f>
        <v>0</v>
      </c>
    </row>
    <row r="7" spans="1:29" ht="28.5" customHeight="1" x14ac:dyDescent="0.25">
      <c r="A7" s="742"/>
      <c r="B7" s="743"/>
      <c r="C7" s="743"/>
      <c r="D7" s="743"/>
      <c r="E7" s="743"/>
      <c r="F7" s="743"/>
      <c r="G7" s="743"/>
      <c r="H7" s="743"/>
      <c r="I7" s="743"/>
      <c r="J7" s="743"/>
      <c r="K7" s="743"/>
      <c r="L7" s="743"/>
      <c r="M7" s="261" t="s">
        <v>516</v>
      </c>
      <c r="N7" s="594">
        <v>6.24</v>
      </c>
      <c r="P7" s="763" t="s">
        <v>575</v>
      </c>
      <c r="Q7" s="296" t="s">
        <v>576</v>
      </c>
      <c r="R7" s="597">
        <v>1.65</v>
      </c>
      <c r="S7" s="598"/>
      <c r="U7" s="258" t="s">
        <v>490</v>
      </c>
      <c r="V7" s="117">
        <v>0</v>
      </c>
      <c r="W7" s="117">
        <v>0</v>
      </c>
      <c r="X7" s="117">
        <v>1.1399999999999999</v>
      </c>
      <c r="Y7" s="117">
        <v>0.01</v>
      </c>
      <c r="Z7" s="117">
        <v>0.01</v>
      </c>
      <c r="AA7" s="117">
        <v>0.71</v>
      </c>
      <c r="AB7" s="340">
        <f>SUM(V7:AA7)</f>
        <v>1.8699999999999999</v>
      </c>
    </row>
    <row r="8" spans="1:29" ht="28.5" customHeight="1" x14ac:dyDescent="0.25">
      <c r="A8" s="742"/>
      <c r="B8" s="743"/>
      <c r="C8" s="743"/>
      <c r="D8" s="743"/>
      <c r="E8" s="743"/>
      <c r="F8" s="743"/>
      <c r="G8" s="743"/>
      <c r="H8" s="743"/>
      <c r="I8" s="743"/>
      <c r="J8" s="743"/>
      <c r="K8" s="743"/>
      <c r="L8" s="743"/>
      <c r="M8" s="260" t="s">
        <v>897</v>
      </c>
      <c r="N8" s="593">
        <v>5.9180000000000001</v>
      </c>
      <c r="P8" s="763"/>
      <c r="Q8" s="296">
        <v>95417</v>
      </c>
      <c r="R8" s="597"/>
      <c r="S8" s="598">
        <v>202.42</v>
      </c>
      <c r="U8" s="258" t="s">
        <v>491</v>
      </c>
      <c r="V8" s="117">
        <v>0</v>
      </c>
      <c r="W8" s="117">
        <v>0</v>
      </c>
      <c r="X8" s="117">
        <v>1.1399999999999999</v>
      </c>
      <c r="Y8" s="117">
        <v>0.01</v>
      </c>
      <c r="Z8" s="117">
        <v>0.08</v>
      </c>
      <c r="AA8" s="343">
        <v>0.67</v>
      </c>
      <c r="AB8" s="340">
        <f t="shared" si="0"/>
        <v>1.9</v>
      </c>
    </row>
    <row r="9" spans="1:29" ht="28.5" customHeight="1" x14ac:dyDescent="0.25">
      <c r="A9" s="351"/>
      <c r="B9" s="352"/>
      <c r="C9" s="352"/>
      <c r="D9" s="352"/>
      <c r="E9" s="352"/>
      <c r="F9" s="352"/>
      <c r="G9" s="352"/>
      <c r="H9" s="352"/>
      <c r="I9" s="352"/>
      <c r="J9" s="352"/>
      <c r="K9" s="352"/>
      <c r="L9" s="352"/>
      <c r="M9" s="260"/>
      <c r="N9" s="286"/>
      <c r="P9" s="763" t="s">
        <v>761</v>
      </c>
      <c r="Q9" s="296">
        <v>95407</v>
      </c>
      <c r="R9" s="597">
        <v>3.47</v>
      </c>
      <c r="S9" s="598"/>
      <c r="U9" s="258"/>
      <c r="V9" s="117"/>
      <c r="W9" s="117"/>
      <c r="X9" s="117"/>
      <c r="Y9" s="117"/>
      <c r="Z9" s="117"/>
      <c r="AA9" s="343"/>
      <c r="AB9" s="340"/>
    </row>
    <row r="10" spans="1:29" ht="28.5" customHeight="1" x14ac:dyDescent="0.25">
      <c r="A10" s="351"/>
      <c r="B10" s="352"/>
      <c r="C10" s="352"/>
      <c r="D10" s="352"/>
      <c r="E10" s="352"/>
      <c r="F10" s="352"/>
      <c r="G10" s="352"/>
      <c r="H10" s="352"/>
      <c r="I10" s="352"/>
      <c r="J10" s="352"/>
      <c r="K10" s="352"/>
      <c r="L10" s="352"/>
      <c r="M10" s="260"/>
      <c r="N10" s="286"/>
      <c r="P10" s="763"/>
      <c r="Q10" s="296">
        <v>101318</v>
      </c>
      <c r="R10" s="597"/>
      <c r="S10" s="598">
        <v>423.36</v>
      </c>
      <c r="U10" s="258"/>
      <c r="V10" s="117"/>
      <c r="W10" s="117"/>
      <c r="X10" s="117"/>
      <c r="Y10" s="117"/>
      <c r="Z10" s="117"/>
      <c r="AA10" s="343"/>
      <c r="AB10" s="340"/>
    </row>
    <row r="11" spans="1:29" s="16" customFormat="1" ht="51" customHeight="1" x14ac:dyDescent="0.25">
      <c r="A11" s="744"/>
      <c r="B11" s="745"/>
      <c r="C11" s="257" t="s">
        <v>510</v>
      </c>
      <c r="D11" s="278" t="s">
        <v>511</v>
      </c>
      <c r="E11" s="257" t="s">
        <v>509</v>
      </c>
      <c r="F11" s="257" t="s">
        <v>512</v>
      </c>
      <c r="G11" s="257" t="s">
        <v>513</v>
      </c>
      <c r="H11" s="257" t="s">
        <v>514</v>
      </c>
      <c r="I11" s="257" t="s">
        <v>515</v>
      </c>
      <c r="J11" s="270" t="s">
        <v>627</v>
      </c>
      <c r="K11" s="270" t="s">
        <v>619</v>
      </c>
      <c r="L11" s="274" t="s">
        <v>582</v>
      </c>
      <c r="M11" s="274" t="s">
        <v>580</v>
      </c>
      <c r="N11" s="275"/>
      <c r="P11" s="763" t="s">
        <v>192</v>
      </c>
      <c r="Q11" s="296" t="s">
        <v>570</v>
      </c>
      <c r="R11" s="597">
        <v>0.86</v>
      </c>
      <c r="S11" s="598"/>
      <c r="U11" s="258" t="s">
        <v>652</v>
      </c>
      <c r="V11" s="117">
        <v>1.86</v>
      </c>
      <c r="W11" s="117">
        <v>0.57999999999999996</v>
      </c>
      <c r="X11" s="117">
        <v>1.1399999999999999</v>
      </c>
      <c r="Y11" s="117">
        <v>0.01</v>
      </c>
      <c r="Z11" s="117">
        <v>0.86</v>
      </c>
      <c r="AA11" s="117">
        <v>1.1399999999999999</v>
      </c>
      <c r="AB11" s="340">
        <f t="shared" si="0"/>
        <v>5.59</v>
      </c>
    </row>
    <row r="12" spans="1:29" s="16" customFormat="1" ht="29.25" customHeight="1" x14ac:dyDescent="0.25">
      <c r="A12" s="796" t="s">
        <v>196</v>
      </c>
      <c r="B12" s="258" t="s">
        <v>494</v>
      </c>
      <c r="C12" s="173">
        <v>0</v>
      </c>
      <c r="D12" s="173">
        <f>ROUNDUP(C12/220,0)</f>
        <v>0</v>
      </c>
      <c r="E12" s="30">
        <v>12</v>
      </c>
      <c r="F12" s="175">
        <f>I12*(1+(N2/100))</f>
        <v>83.720635000000001</v>
      </c>
      <c r="G12" s="174">
        <f>I12*(1+(N3/100))</f>
        <v>66.981950000000012</v>
      </c>
      <c r="H12" s="259">
        <f t="shared" ref="H12:H17" si="1">C12*E12*F12</f>
        <v>0</v>
      </c>
      <c r="I12" s="175">
        <v>45.35</v>
      </c>
      <c r="J12" s="292">
        <f>R7</f>
        <v>1.65</v>
      </c>
      <c r="K12" s="288">
        <f>C12*E12*J12</f>
        <v>0</v>
      </c>
      <c r="L12" s="175">
        <f>C12*E12*M12</f>
        <v>0</v>
      </c>
      <c r="M12" s="174">
        <v>0</v>
      </c>
      <c r="N12" s="273" t="s">
        <v>585</v>
      </c>
      <c r="P12" s="763"/>
      <c r="Q12" s="296">
        <v>95423</v>
      </c>
      <c r="R12" s="597"/>
      <c r="S12" s="598">
        <v>116.68</v>
      </c>
      <c r="U12" s="258" t="s">
        <v>534</v>
      </c>
      <c r="V12" s="117">
        <v>0</v>
      </c>
      <c r="W12" s="118">
        <v>0</v>
      </c>
      <c r="X12" s="117">
        <v>215.56</v>
      </c>
      <c r="Y12" s="117">
        <v>0.01</v>
      </c>
      <c r="Z12" s="117">
        <v>21.49</v>
      </c>
      <c r="AA12" s="117">
        <v>221.51</v>
      </c>
      <c r="AB12" s="340">
        <f t="shared" si="0"/>
        <v>458.57</v>
      </c>
    </row>
    <row r="13" spans="1:29" s="16" customFormat="1" ht="29.25" customHeight="1" x14ac:dyDescent="0.25">
      <c r="A13" s="796"/>
      <c r="B13" s="258" t="s">
        <v>488</v>
      </c>
      <c r="C13" s="382">
        <v>24</v>
      </c>
      <c r="D13" s="173">
        <v>0</v>
      </c>
      <c r="E13" s="30">
        <f>E12</f>
        <v>12</v>
      </c>
      <c r="F13" s="175">
        <f>I13*(1+(N2/100))</f>
        <v>94.151099999999985</v>
      </c>
      <c r="G13" s="174">
        <f>I13*(1+(N3/100))</f>
        <v>75.326999999999998</v>
      </c>
      <c r="H13" s="582">
        <f>C13*E13*F13</f>
        <v>27115.516799999998</v>
      </c>
      <c r="I13" s="175">
        <f>8.5*N4/220</f>
        <v>51</v>
      </c>
      <c r="J13" s="292">
        <f>R4</f>
        <v>1.45</v>
      </c>
      <c r="K13" s="288">
        <f>C13*E13*J13</f>
        <v>417.59999999999997</v>
      </c>
      <c r="L13" s="175">
        <f>C13*E13*M13</f>
        <v>538.55999999999995</v>
      </c>
      <c r="M13" s="174">
        <f>AB4</f>
        <v>1.8699999999999999</v>
      </c>
      <c r="N13" s="273" t="s">
        <v>586</v>
      </c>
      <c r="P13" s="763" t="s">
        <v>193</v>
      </c>
      <c r="Q13" s="296" t="s">
        <v>571</v>
      </c>
      <c r="R13" s="600">
        <v>0.55000000000000004</v>
      </c>
      <c r="S13" s="598"/>
      <c r="U13" s="258" t="s">
        <v>535</v>
      </c>
      <c r="V13" s="117">
        <v>0</v>
      </c>
      <c r="W13" s="117">
        <v>0</v>
      </c>
      <c r="X13" s="117">
        <v>215.56</v>
      </c>
      <c r="Y13" s="117">
        <v>0.01</v>
      </c>
      <c r="Z13" s="117">
        <v>21.49</v>
      </c>
      <c r="AA13" s="117">
        <v>221.51</v>
      </c>
      <c r="AB13" s="340">
        <f t="shared" si="0"/>
        <v>458.57</v>
      </c>
    </row>
    <row r="14" spans="1:29" s="16" customFormat="1" ht="33.75" customHeight="1" x14ac:dyDescent="0.25">
      <c r="A14" s="796"/>
      <c r="B14" s="258" t="s">
        <v>489</v>
      </c>
      <c r="C14" s="173">
        <v>0</v>
      </c>
      <c r="D14" s="173">
        <f t="shared" ref="D14:D15" si="2">ROUNDUP(C14/220,0)</f>
        <v>0</v>
      </c>
      <c r="E14" s="30">
        <f>E13</f>
        <v>12</v>
      </c>
      <c r="F14" s="175">
        <f>I14*(1+(N2/100))</f>
        <v>94.151099999999985</v>
      </c>
      <c r="G14" s="174">
        <f>I14*(1+(N3/100))</f>
        <v>75.326999999999998</v>
      </c>
      <c r="H14" s="259">
        <f>C14*E14*F14</f>
        <v>0</v>
      </c>
      <c r="I14" s="175">
        <f>8.5*N4/220</f>
        <v>51</v>
      </c>
      <c r="J14" s="292">
        <f>R4</f>
        <v>1.45</v>
      </c>
      <c r="K14" s="288">
        <f t="shared" ref="K14:K24" si="3">C14*E14*J14</f>
        <v>0</v>
      </c>
      <c r="L14" s="175">
        <f t="shared" ref="L14" si="4">C14*E14*M14</f>
        <v>0</v>
      </c>
      <c r="M14" s="174">
        <f>M13</f>
        <v>1.8699999999999999</v>
      </c>
      <c r="N14" s="273" t="s">
        <v>587</v>
      </c>
      <c r="P14" s="763"/>
      <c r="Q14" s="296">
        <v>95422</v>
      </c>
      <c r="R14" s="600"/>
      <c r="S14" s="598">
        <v>74.78</v>
      </c>
      <c r="U14" s="258" t="s">
        <v>654</v>
      </c>
      <c r="V14" s="117">
        <v>0</v>
      </c>
      <c r="W14" s="117">
        <v>0</v>
      </c>
      <c r="X14" s="117">
        <v>215.56</v>
      </c>
      <c r="Y14" s="117">
        <v>0.01</v>
      </c>
      <c r="Z14" s="117">
        <v>10.6</v>
      </c>
      <c r="AA14" s="117">
        <v>140.69</v>
      </c>
      <c r="AB14" s="340">
        <f>SUM(V14:AA14)</f>
        <v>366.86</v>
      </c>
    </row>
    <row r="15" spans="1:29" s="16" customFormat="1" ht="28.5" customHeight="1" x14ac:dyDescent="0.25">
      <c r="A15" s="796"/>
      <c r="B15" s="258" t="s">
        <v>490</v>
      </c>
      <c r="C15" s="173">
        <v>0</v>
      </c>
      <c r="D15" s="173">
        <f t="shared" si="2"/>
        <v>0</v>
      </c>
      <c r="E15" s="30">
        <f>E13</f>
        <v>12</v>
      </c>
      <c r="F15" s="175">
        <f>I15*(1+(N2/100))</f>
        <v>122.39643000000001</v>
      </c>
      <c r="G15" s="174">
        <f>I15*(1+(N3/100))</f>
        <v>97.925100000000029</v>
      </c>
      <c r="H15" s="259">
        <f>C15*E15*F15</f>
        <v>0</v>
      </c>
      <c r="I15" s="175">
        <f>1.3*8.5*N4/220</f>
        <v>66.300000000000011</v>
      </c>
      <c r="J15" s="292">
        <f>R9</f>
        <v>3.47</v>
      </c>
      <c r="K15" s="288">
        <f t="shared" si="3"/>
        <v>0</v>
      </c>
      <c r="L15" s="175">
        <f>C15*E15*M15</f>
        <v>0</v>
      </c>
      <c r="M15" s="174">
        <f>AB7</f>
        <v>1.8699999999999999</v>
      </c>
      <c r="N15" s="273" t="s">
        <v>587</v>
      </c>
      <c r="P15" s="763" t="s">
        <v>2</v>
      </c>
      <c r="Q15" s="296" t="s">
        <v>572</v>
      </c>
      <c r="R15" s="600">
        <v>0.13</v>
      </c>
      <c r="S15" s="598"/>
      <c r="U15" s="258" t="s">
        <v>653</v>
      </c>
      <c r="V15" s="117">
        <v>0</v>
      </c>
      <c r="W15" s="117">
        <v>0</v>
      </c>
      <c r="X15" s="117">
        <v>215.56</v>
      </c>
      <c r="Y15" s="117">
        <v>0.01</v>
      </c>
      <c r="Z15" s="117">
        <v>10.6</v>
      </c>
      <c r="AA15" s="117">
        <v>140.69</v>
      </c>
      <c r="AB15" s="340">
        <f t="shared" si="0"/>
        <v>366.86</v>
      </c>
    </row>
    <row r="16" spans="1:29" s="16" customFormat="1" ht="28.5" customHeight="1" x14ac:dyDescent="0.25">
      <c r="A16" s="796"/>
      <c r="B16" s="258" t="s">
        <v>491</v>
      </c>
      <c r="C16" s="173">
        <v>0</v>
      </c>
      <c r="D16" s="173">
        <f t="shared" ref="D16:D22" si="5">IF(C16=220,1,0)</f>
        <v>0</v>
      </c>
      <c r="E16" s="30">
        <f>E13</f>
        <v>12</v>
      </c>
      <c r="F16" s="175">
        <f>I16*(1+(N2/100))</f>
        <v>44.306399999999996</v>
      </c>
      <c r="G16" s="174">
        <f>I16*(1+(N3/100))</f>
        <v>35.448</v>
      </c>
      <c r="H16" s="259">
        <f t="shared" si="1"/>
        <v>0</v>
      </c>
      <c r="I16" s="175">
        <f>4*N4/220</f>
        <v>24</v>
      </c>
      <c r="J16" s="292">
        <f>R19*220</f>
        <v>39.6</v>
      </c>
      <c r="K16" s="288">
        <f>D16*E16*J16</f>
        <v>0</v>
      </c>
      <c r="L16" s="175">
        <f t="shared" ref="L16:L17" si="6">C16*E16*M16</f>
        <v>0</v>
      </c>
      <c r="M16" s="174">
        <f>AB8</f>
        <v>1.9</v>
      </c>
      <c r="N16" s="273" t="s">
        <v>588</v>
      </c>
      <c r="P16" s="763"/>
      <c r="Q16" s="296">
        <v>95413</v>
      </c>
      <c r="R16" s="600"/>
      <c r="S16" s="598">
        <v>17.809999999999999</v>
      </c>
      <c r="U16" s="258" t="s">
        <v>525</v>
      </c>
      <c r="V16" s="117"/>
      <c r="W16" s="117"/>
      <c r="X16" s="117"/>
      <c r="Y16" s="117"/>
      <c r="Z16" s="117"/>
      <c r="AA16" s="117"/>
      <c r="AB16" s="340"/>
    </row>
    <row r="17" spans="1:28" s="16" customFormat="1" ht="29.25" customHeight="1" x14ac:dyDescent="0.25">
      <c r="A17" s="796"/>
      <c r="B17" s="258" t="s">
        <v>492</v>
      </c>
      <c r="C17" s="173">
        <v>0</v>
      </c>
      <c r="D17" s="173">
        <f t="shared" si="5"/>
        <v>0</v>
      </c>
      <c r="E17" s="30">
        <f>E13</f>
        <v>12</v>
      </c>
      <c r="F17" s="175">
        <f>I17*(1+(N2/100))</f>
        <v>44.306399999999996</v>
      </c>
      <c r="G17" s="174">
        <f>I17*(1+(N3/100))</f>
        <v>35.448</v>
      </c>
      <c r="H17" s="259">
        <f t="shared" si="1"/>
        <v>0</v>
      </c>
      <c r="I17" s="175">
        <f>4*N4/220</f>
        <v>24</v>
      </c>
      <c r="J17" s="292">
        <f>R19*220</f>
        <v>39.6</v>
      </c>
      <c r="K17" s="288">
        <f t="shared" ref="K17:K22" si="7">D17*E17*J17</f>
        <v>0</v>
      </c>
      <c r="L17" s="175">
        <f t="shared" si="6"/>
        <v>0</v>
      </c>
      <c r="M17" s="174">
        <f t="shared" ref="M17:M22" si="8">AB11</f>
        <v>5.59</v>
      </c>
      <c r="N17" s="273" t="s">
        <v>588</v>
      </c>
      <c r="P17" s="797" t="s">
        <v>194</v>
      </c>
      <c r="Q17" s="296" t="s">
        <v>573</v>
      </c>
      <c r="R17" s="597">
        <v>0.56000000000000005</v>
      </c>
      <c r="S17" s="598"/>
      <c r="U17" s="258" t="s">
        <v>495</v>
      </c>
      <c r="V17" s="117">
        <v>1.86</v>
      </c>
      <c r="W17" s="117">
        <v>0.57999999999999996</v>
      </c>
      <c r="X17" s="117">
        <v>1.1399999999999999</v>
      </c>
      <c r="Y17" s="117">
        <v>0.01</v>
      </c>
      <c r="Z17" s="117">
        <v>0.59</v>
      </c>
      <c r="AA17" s="117">
        <v>1.25</v>
      </c>
      <c r="AB17" s="340">
        <f t="shared" si="0"/>
        <v>5.43</v>
      </c>
    </row>
    <row r="18" spans="1:28" s="16" customFormat="1" ht="29.25" customHeight="1" x14ac:dyDescent="0.25">
      <c r="A18" s="796"/>
      <c r="B18" s="258" t="s">
        <v>534</v>
      </c>
      <c r="C18" s="173">
        <v>0</v>
      </c>
      <c r="D18" s="173">
        <f t="shared" si="5"/>
        <v>0</v>
      </c>
      <c r="E18" s="30">
        <f>E13</f>
        <v>12</v>
      </c>
      <c r="F18" s="175">
        <f>I18*(1+(N2/100))</f>
        <v>33.229799999999997</v>
      </c>
      <c r="G18" s="174">
        <f>I18*(1+(N3/100))</f>
        <v>26.586000000000002</v>
      </c>
      <c r="H18" s="259">
        <f t="shared" ref="H18:H22" si="9">C18*E18*G18</f>
        <v>0</v>
      </c>
      <c r="I18" s="175">
        <f>3*N4/220</f>
        <v>18</v>
      </c>
      <c r="J18" s="292">
        <f>S12</f>
        <v>116.68</v>
      </c>
      <c r="K18" s="288">
        <f t="shared" si="7"/>
        <v>0</v>
      </c>
      <c r="L18" s="175">
        <f>D18*E18*M18</f>
        <v>0</v>
      </c>
      <c r="M18" s="280">
        <f t="shared" si="8"/>
        <v>458.57</v>
      </c>
      <c r="N18" s="273" t="s">
        <v>589</v>
      </c>
      <c r="P18" s="798"/>
      <c r="Q18" s="296">
        <v>95414</v>
      </c>
      <c r="R18" s="600"/>
      <c r="S18" s="598">
        <v>74.23</v>
      </c>
      <c r="U18" s="258" t="s">
        <v>496</v>
      </c>
      <c r="V18" s="117">
        <v>1.86</v>
      </c>
      <c r="W18" s="117">
        <v>0.57999999999999996</v>
      </c>
      <c r="X18" s="117">
        <v>1.1399999999999999</v>
      </c>
      <c r="Y18" s="117">
        <v>0.01</v>
      </c>
      <c r="Z18" s="117">
        <v>0.59</v>
      </c>
      <c r="AA18" s="117">
        <v>1.25</v>
      </c>
      <c r="AB18" s="340">
        <f t="shared" si="0"/>
        <v>5.43</v>
      </c>
    </row>
    <row r="19" spans="1:28" s="16" customFormat="1" ht="29.25" customHeight="1" x14ac:dyDescent="0.25">
      <c r="A19" s="796"/>
      <c r="B19" s="258" t="s">
        <v>535</v>
      </c>
      <c r="C19" s="173">
        <v>0</v>
      </c>
      <c r="D19" s="173">
        <v>0</v>
      </c>
      <c r="E19" s="30">
        <f>E13</f>
        <v>12</v>
      </c>
      <c r="F19" s="175">
        <f>I19*(1+(N2/100))</f>
        <v>22.153199999999998</v>
      </c>
      <c r="G19" s="174">
        <f>I19*(1+(N3/100))</f>
        <v>17.724</v>
      </c>
      <c r="H19" s="586">
        <f>C19*E19*F19</f>
        <v>0</v>
      </c>
      <c r="I19" s="175">
        <f>2*N4/220</f>
        <v>12</v>
      </c>
      <c r="J19" s="292">
        <f>S14</f>
        <v>74.78</v>
      </c>
      <c r="K19" s="288">
        <f t="shared" si="7"/>
        <v>0</v>
      </c>
      <c r="L19" s="175">
        <f t="shared" ref="L19:L20" si="10">D19*E19*M19</f>
        <v>0</v>
      </c>
      <c r="M19" s="280">
        <f t="shared" si="8"/>
        <v>458.57</v>
      </c>
      <c r="N19" s="273" t="s">
        <v>589</v>
      </c>
      <c r="O19" s="1"/>
      <c r="P19" s="297" t="s">
        <v>568</v>
      </c>
      <c r="Q19" s="296" t="s">
        <v>569</v>
      </c>
      <c r="R19" s="597">
        <v>0.18</v>
      </c>
      <c r="S19" s="598"/>
    </row>
    <row r="20" spans="1:28" s="16" customFormat="1" ht="28.5" customHeight="1" x14ac:dyDescent="0.25">
      <c r="A20" s="796"/>
      <c r="B20" s="258" t="s">
        <v>583</v>
      </c>
      <c r="C20" s="173">
        <v>0</v>
      </c>
      <c r="D20" s="173">
        <f t="shared" si="5"/>
        <v>0</v>
      </c>
      <c r="E20" s="30">
        <f>E13</f>
        <v>12</v>
      </c>
      <c r="F20" s="175">
        <f>I20*(1+(N2/100))</f>
        <v>15.451856999999997</v>
      </c>
      <c r="G20" s="174">
        <f>I20*(1+(N3/100))</f>
        <v>12.362489999999999</v>
      </c>
      <c r="H20" s="586">
        <f>C20*E20*F20</f>
        <v>0</v>
      </c>
      <c r="I20" s="175">
        <f>N6</f>
        <v>8.3699999999999992</v>
      </c>
      <c r="J20" s="292">
        <f>S16</f>
        <v>17.809999999999999</v>
      </c>
      <c r="K20" s="288">
        <f t="shared" si="7"/>
        <v>0</v>
      </c>
      <c r="L20" s="175">
        <f t="shared" si="10"/>
        <v>0</v>
      </c>
      <c r="M20" s="280">
        <f t="shared" si="8"/>
        <v>366.86</v>
      </c>
      <c r="N20" s="273" t="s">
        <v>589</v>
      </c>
      <c r="P20" s="297" t="s">
        <v>595</v>
      </c>
      <c r="Q20" s="296" t="s">
        <v>574</v>
      </c>
      <c r="R20" s="600">
        <v>0.08</v>
      </c>
      <c r="S20" s="598"/>
    </row>
    <row r="21" spans="1:28" s="16" customFormat="1" ht="33.75" customHeight="1" thickBot="1" x14ac:dyDescent="0.3">
      <c r="A21" s="796"/>
      <c r="B21" s="258" t="s">
        <v>493</v>
      </c>
      <c r="C21" s="173"/>
      <c r="D21" s="173">
        <f t="shared" si="5"/>
        <v>0</v>
      </c>
      <c r="E21" s="30">
        <f>E13</f>
        <v>12</v>
      </c>
      <c r="F21" s="175">
        <f>I21*(1+(N2/100))</f>
        <v>11.519663999999999</v>
      </c>
      <c r="G21" s="174">
        <f>I21*(1+(N3/100))</f>
        <v>9.2164800000000007</v>
      </c>
      <c r="H21" s="259">
        <f t="shared" si="9"/>
        <v>0</v>
      </c>
      <c r="I21" s="175">
        <f>N7</f>
        <v>6.24</v>
      </c>
      <c r="J21" s="292">
        <f>S18</f>
        <v>74.23</v>
      </c>
      <c r="K21" s="288">
        <f t="shared" si="7"/>
        <v>0</v>
      </c>
      <c r="L21" s="175">
        <f>D21*E21*M21</f>
        <v>0</v>
      </c>
      <c r="M21" s="280">
        <f t="shared" si="8"/>
        <v>366.86</v>
      </c>
      <c r="N21" s="273" t="s">
        <v>589</v>
      </c>
      <c r="P21" s="298" t="s">
        <v>1</v>
      </c>
      <c r="Q21" s="269" t="s">
        <v>594</v>
      </c>
      <c r="R21" s="601">
        <v>0.24</v>
      </c>
      <c r="S21" s="602"/>
    </row>
    <row r="22" spans="1:28" s="16" customFormat="1" ht="29.25" customHeight="1" x14ac:dyDescent="0.25">
      <c r="A22" s="796"/>
      <c r="B22" s="258" t="s">
        <v>525</v>
      </c>
      <c r="C22" s="173">
        <v>0</v>
      </c>
      <c r="D22" s="173">
        <f t="shared" si="5"/>
        <v>0</v>
      </c>
      <c r="E22" s="30">
        <f>E21</f>
        <v>12</v>
      </c>
      <c r="F22" s="175">
        <f>I22*(1+(N2/100))</f>
        <v>10.925219799999999</v>
      </c>
      <c r="G22" s="174">
        <f>I22*(1+(N3/100))</f>
        <v>8.7408860000000015</v>
      </c>
      <c r="H22" s="259">
        <f t="shared" si="9"/>
        <v>0</v>
      </c>
      <c r="I22" s="175">
        <f>N8</f>
        <v>5.9180000000000001</v>
      </c>
      <c r="J22" s="292">
        <f>R21*220</f>
        <v>52.8</v>
      </c>
      <c r="K22" s="288">
        <f t="shared" si="7"/>
        <v>0</v>
      </c>
      <c r="L22" s="175">
        <f t="shared" ref="L22" si="11">C22*E22*M22</f>
        <v>0</v>
      </c>
      <c r="M22" s="280">
        <f t="shared" si="8"/>
        <v>0</v>
      </c>
      <c r="N22" s="273" t="s">
        <v>589</v>
      </c>
      <c r="R22" s="353"/>
      <c r="S22" s="299"/>
      <c r="T22" s="785" t="s">
        <v>596</v>
      </c>
      <c r="U22" s="785"/>
      <c r="V22" s="785"/>
    </row>
    <row r="23" spans="1:28" s="16" customFormat="1" ht="29.25" customHeight="1" x14ac:dyDescent="0.25">
      <c r="A23" s="796"/>
      <c r="B23" s="258" t="s">
        <v>495</v>
      </c>
      <c r="C23" s="173">
        <v>0</v>
      </c>
      <c r="D23" s="173">
        <f>C23</f>
        <v>0</v>
      </c>
      <c r="E23" s="30">
        <f>E13</f>
        <v>12</v>
      </c>
      <c r="F23" s="383" t="s">
        <v>181</v>
      </c>
      <c r="G23" s="341">
        <f>Vigias!D19</f>
        <v>0</v>
      </c>
      <c r="H23" s="259">
        <f>C23*E23*G23</f>
        <v>0</v>
      </c>
      <c r="I23" s="175">
        <f>Vigias!E11</f>
        <v>0</v>
      </c>
      <c r="J23" s="292">
        <f>R20*Vigias!E6</f>
        <v>0</v>
      </c>
      <c r="K23" s="288">
        <f t="shared" si="3"/>
        <v>0</v>
      </c>
      <c r="L23" s="175">
        <f>C23*E23*M23</f>
        <v>0</v>
      </c>
      <c r="M23" s="174">
        <f>AB17*Vigias!E6</f>
        <v>0</v>
      </c>
      <c r="N23" s="273" t="s">
        <v>589</v>
      </c>
      <c r="S23" s="299"/>
    </row>
    <row r="24" spans="1:28" ht="27" customHeight="1" x14ac:dyDescent="0.25">
      <c r="A24" s="796"/>
      <c r="B24" s="258" t="s">
        <v>496</v>
      </c>
      <c r="C24" s="173">
        <v>0</v>
      </c>
      <c r="D24" s="173">
        <f>C24</f>
        <v>0</v>
      </c>
      <c r="E24" s="30">
        <f>E13</f>
        <v>12</v>
      </c>
      <c r="F24" s="383" t="s">
        <v>181</v>
      </c>
      <c r="G24" s="341">
        <f>Vigias!D30</f>
        <v>0</v>
      </c>
      <c r="H24" s="259">
        <f>C24*E24*G24</f>
        <v>0</v>
      </c>
      <c r="I24" s="175">
        <f>Vigias!E25</f>
        <v>0</v>
      </c>
      <c r="J24" s="292">
        <f>R20*Vigias!G27</f>
        <v>8.4</v>
      </c>
      <c r="K24" s="288">
        <f t="shared" si="3"/>
        <v>0</v>
      </c>
      <c r="L24" s="175">
        <f t="shared" ref="L24" si="12">C24*E24*M24</f>
        <v>0</v>
      </c>
      <c r="M24" s="280">
        <f>AB18*Vigias!E24</f>
        <v>977.4</v>
      </c>
      <c r="N24" s="72"/>
    </row>
    <row r="25" spans="1:28" ht="28.5" customHeight="1" x14ac:dyDescent="0.25">
      <c r="A25" s="50"/>
      <c r="B25" s="48"/>
      <c r="C25" s="48"/>
      <c r="D25" s="48"/>
      <c r="E25" s="48"/>
      <c r="F25" s="48"/>
      <c r="G25" s="48"/>
      <c r="H25" s="48"/>
      <c r="I25" s="48"/>
      <c r="J25" s="117"/>
      <c r="K25" s="117"/>
      <c r="M25" s="264" t="s">
        <v>579</v>
      </c>
      <c r="N25" s="112">
        <f>SUM(D12:D15)</f>
        <v>0</v>
      </c>
    </row>
    <row r="26" spans="1:28" ht="28.5" customHeight="1" thickBot="1" x14ac:dyDescent="0.3">
      <c r="A26" s="204"/>
      <c r="B26" s="794" t="s">
        <v>565</v>
      </c>
      <c r="C26" s="795"/>
      <c r="D26" s="269">
        <f>SUM(D12:D24)</f>
        <v>0</v>
      </c>
      <c r="E26" s="262"/>
      <c r="F26" s="793" t="s">
        <v>228</v>
      </c>
      <c r="G26" s="793"/>
      <c r="H26" s="265">
        <f>SUM(H12:H24)</f>
        <v>27115.516799999998</v>
      </c>
      <c r="I26" s="263"/>
      <c r="J26" s="289"/>
      <c r="K26" s="265">
        <f>SUM(K12:K25)</f>
        <v>417.59999999999997</v>
      </c>
      <c r="L26" s="265">
        <f>SUM(L12:L24)</f>
        <v>538.55999999999995</v>
      </c>
      <c r="M26" s="276" t="s">
        <v>578</v>
      </c>
      <c r="N26" s="277">
        <f>SUM(D16:D24)</f>
        <v>0</v>
      </c>
    </row>
    <row r="27" spans="1:28" ht="28.5" customHeight="1" x14ac:dyDescent="0.25">
      <c r="A27" s="172"/>
      <c r="B27" s="789"/>
      <c r="C27" s="789"/>
      <c r="D27" s="789"/>
      <c r="E27" s="789"/>
      <c r="F27" s="789"/>
      <c r="G27" s="789"/>
      <c r="H27" s="789"/>
      <c r="I27" s="789"/>
      <c r="J27" s="789"/>
      <c r="K27" s="789"/>
      <c r="L27" s="789"/>
      <c r="M27" s="789"/>
      <c r="N27" s="268"/>
    </row>
    <row r="28" spans="1:28" ht="28.5" customHeight="1" x14ac:dyDescent="0.25">
      <c r="A28" s="787" t="s">
        <v>763</v>
      </c>
      <c r="B28" s="788"/>
      <c r="C28" s="788"/>
      <c r="D28" s="788"/>
      <c r="E28" s="788"/>
      <c r="F28" s="788"/>
      <c r="G28" s="788"/>
      <c r="H28" s="788"/>
      <c r="I28" s="788"/>
      <c r="J28" s="788"/>
      <c r="K28" s="788"/>
      <c r="L28" s="788"/>
      <c r="M28" s="788"/>
      <c r="N28" s="279"/>
    </row>
    <row r="29" spans="1:28" ht="30" customHeight="1" x14ac:dyDescent="0.25">
      <c r="A29" s="172"/>
      <c r="B29" s="178"/>
      <c r="C29" s="142"/>
      <c r="D29" s="142"/>
      <c r="E29" s="142"/>
      <c r="F29" s="142"/>
      <c r="G29" s="142"/>
      <c r="H29" s="142"/>
      <c r="I29" s="142"/>
      <c r="J29" s="142"/>
      <c r="K29" s="142"/>
      <c r="L29" s="142"/>
      <c r="M29" s="142"/>
      <c r="N29" s="228"/>
    </row>
    <row r="30" spans="1:28" ht="30.75" customHeight="1" thickBot="1" x14ac:dyDescent="0.3">
      <c r="N30" s="227"/>
    </row>
    <row r="31" spans="1:28" ht="39" customHeight="1" thickBot="1" x14ac:dyDescent="0.3">
      <c r="A31" s="766" t="s">
        <v>224</v>
      </c>
      <c r="B31" s="767"/>
      <c r="C31" s="783" t="s">
        <v>517</v>
      </c>
      <c r="D31" s="218" t="s">
        <v>434</v>
      </c>
      <c r="E31" s="790" t="s">
        <v>154</v>
      </c>
      <c r="F31" s="791"/>
      <c r="G31" s="791"/>
      <c r="H31" s="792"/>
      <c r="I31" s="790" t="s">
        <v>155</v>
      </c>
      <c r="J31" s="791"/>
      <c r="K31" s="791"/>
      <c r="L31" s="792"/>
      <c r="M31" s="232"/>
      <c r="N31" s="229"/>
    </row>
    <row r="32" spans="1:28" ht="29.25" customHeight="1" thickBot="1" x14ac:dyDescent="0.3">
      <c r="A32" s="768"/>
      <c r="B32" s="769"/>
      <c r="C32" s="784"/>
      <c r="D32" s="219" t="s">
        <v>153</v>
      </c>
      <c r="E32" s="220" t="s">
        <v>172</v>
      </c>
      <c r="F32" s="221" t="s">
        <v>173</v>
      </c>
      <c r="G32" s="221" t="s">
        <v>174</v>
      </c>
      <c r="H32" s="222" t="s">
        <v>157</v>
      </c>
      <c r="I32" s="220" t="s">
        <v>156</v>
      </c>
      <c r="J32" s="221" t="s">
        <v>175</v>
      </c>
      <c r="K32" s="221" t="s">
        <v>176</v>
      </c>
      <c r="L32" s="221" t="s">
        <v>223</v>
      </c>
      <c r="M32" s="222" t="s">
        <v>21</v>
      </c>
      <c r="N32" s="230"/>
    </row>
    <row r="33" spans="1:14" ht="26.25" customHeight="1" thickBot="1" x14ac:dyDescent="0.3">
      <c r="A33" s="770"/>
      <c r="B33" s="771"/>
      <c r="C33" s="226" t="s">
        <v>518</v>
      </c>
      <c r="D33" s="223">
        <v>60</v>
      </c>
      <c r="E33" s="223">
        <v>90</v>
      </c>
      <c r="F33" s="224">
        <v>120</v>
      </c>
      <c r="G33" s="224">
        <v>150</v>
      </c>
      <c r="H33" s="225">
        <v>180</v>
      </c>
      <c r="I33" s="223">
        <v>240</v>
      </c>
      <c r="J33" s="224">
        <v>300</v>
      </c>
      <c r="K33" s="224">
        <v>360</v>
      </c>
      <c r="L33" s="224">
        <v>720</v>
      </c>
      <c r="M33" s="225">
        <v>900</v>
      </c>
      <c r="N33" s="231"/>
    </row>
    <row r="34" spans="1:14" ht="28.5" customHeight="1" x14ac:dyDescent="0.25">
      <c r="A34" s="772" t="s">
        <v>196</v>
      </c>
      <c r="B34" s="775" t="s">
        <v>285</v>
      </c>
      <c r="C34" s="776"/>
      <c r="D34" s="179">
        <v>0</v>
      </c>
      <c r="E34" s="179">
        <v>0</v>
      </c>
      <c r="F34" s="179">
        <v>0</v>
      </c>
      <c r="G34" s="179">
        <v>0</v>
      </c>
      <c r="H34" s="179">
        <v>0</v>
      </c>
      <c r="I34" s="179">
        <v>0</v>
      </c>
      <c r="J34" s="179">
        <v>0</v>
      </c>
      <c r="K34" s="179">
        <v>0</v>
      </c>
      <c r="L34" s="179">
        <v>55</v>
      </c>
      <c r="M34" s="180">
        <v>55</v>
      </c>
      <c r="N34" s="231"/>
    </row>
    <row r="35" spans="1:14" ht="28.5" customHeight="1" x14ac:dyDescent="0.25">
      <c r="A35" s="773"/>
      <c r="B35" s="777" t="s">
        <v>286</v>
      </c>
      <c r="C35" s="778"/>
      <c r="D35" s="176">
        <v>28</v>
      </c>
      <c r="E35" s="173">
        <v>42</v>
      </c>
      <c r="F35" s="173">
        <v>55</v>
      </c>
      <c r="G35" s="173">
        <v>69</v>
      </c>
      <c r="H35" s="173">
        <v>83</v>
      </c>
      <c r="I35" s="173">
        <v>96</v>
      </c>
      <c r="J35" s="173">
        <v>110</v>
      </c>
      <c r="K35" s="173">
        <v>138</v>
      </c>
      <c r="L35" s="173">
        <v>220</v>
      </c>
      <c r="M35" s="181">
        <v>220</v>
      </c>
      <c r="N35" s="271"/>
    </row>
    <row r="36" spans="1:14" ht="28.5" customHeight="1" x14ac:dyDescent="0.25">
      <c r="A36" s="773"/>
      <c r="B36" s="777" t="s">
        <v>284</v>
      </c>
      <c r="C36" s="778"/>
      <c r="D36" s="176">
        <v>0</v>
      </c>
      <c r="E36" s="173">
        <v>0</v>
      </c>
      <c r="F36" s="173">
        <v>0</v>
      </c>
      <c r="G36" s="173">
        <v>0</v>
      </c>
      <c r="H36" s="173">
        <v>0</v>
      </c>
      <c r="I36" s="173">
        <v>0</v>
      </c>
      <c r="J36" s="173">
        <v>0</v>
      </c>
      <c r="K36" s="173">
        <v>0</v>
      </c>
      <c r="L36" s="173">
        <v>0</v>
      </c>
      <c r="M36" s="181">
        <v>0</v>
      </c>
      <c r="N36" s="271"/>
    </row>
    <row r="37" spans="1:14" ht="26.25" customHeight="1" x14ac:dyDescent="0.25">
      <c r="A37" s="773"/>
      <c r="B37" s="777" t="s">
        <v>230</v>
      </c>
      <c r="C37" s="778"/>
      <c r="D37" s="176">
        <v>0</v>
      </c>
      <c r="E37" s="173">
        <v>0</v>
      </c>
      <c r="F37" s="173">
        <v>0</v>
      </c>
      <c r="G37" s="173">
        <v>0</v>
      </c>
      <c r="H37" s="173">
        <v>0</v>
      </c>
      <c r="I37" s="173">
        <v>0</v>
      </c>
      <c r="J37" s="173">
        <v>0</v>
      </c>
      <c r="K37" s="173">
        <v>0</v>
      </c>
      <c r="L37" s="173">
        <v>0</v>
      </c>
      <c r="M37" s="181">
        <v>0</v>
      </c>
      <c r="N37" s="271"/>
    </row>
    <row r="38" spans="1:14" ht="23.25" customHeight="1" x14ac:dyDescent="0.25">
      <c r="A38" s="773"/>
      <c r="B38" s="777" t="s">
        <v>190</v>
      </c>
      <c r="C38" s="778"/>
      <c r="D38" s="173">
        <v>0</v>
      </c>
      <c r="E38" s="173">
        <v>0</v>
      </c>
      <c r="F38" s="173">
        <v>0</v>
      </c>
      <c r="G38" s="173">
        <v>0</v>
      </c>
      <c r="H38" s="173">
        <v>0</v>
      </c>
      <c r="I38" s="173">
        <v>220</v>
      </c>
      <c r="J38" s="173">
        <v>220</v>
      </c>
      <c r="K38" s="173">
        <v>220</v>
      </c>
      <c r="L38" s="173">
        <v>220</v>
      </c>
      <c r="M38" s="181">
        <v>220</v>
      </c>
      <c r="N38" s="271"/>
    </row>
    <row r="39" spans="1:14" ht="23.25" customHeight="1" x14ac:dyDescent="0.25">
      <c r="A39" s="773"/>
      <c r="B39" s="777" t="s">
        <v>191</v>
      </c>
      <c r="C39" s="778"/>
      <c r="D39" s="173">
        <v>0</v>
      </c>
      <c r="E39" s="173">
        <v>0</v>
      </c>
      <c r="F39" s="173">
        <v>0</v>
      </c>
      <c r="G39" s="173">
        <v>0</v>
      </c>
      <c r="H39" s="173">
        <v>0</v>
      </c>
      <c r="I39" s="173">
        <v>0</v>
      </c>
      <c r="J39" s="173">
        <v>0</v>
      </c>
      <c r="K39" s="173">
        <v>0</v>
      </c>
      <c r="L39" s="173">
        <v>0</v>
      </c>
      <c r="M39" s="181">
        <v>0</v>
      </c>
      <c r="N39" s="271"/>
    </row>
    <row r="40" spans="1:14" ht="22.5" customHeight="1" x14ac:dyDescent="0.25">
      <c r="A40" s="773"/>
      <c r="B40" s="777" t="s">
        <v>192</v>
      </c>
      <c r="C40" s="778"/>
      <c r="D40" s="173">
        <v>0</v>
      </c>
      <c r="E40" s="173">
        <v>0</v>
      </c>
      <c r="F40" s="173">
        <v>0</v>
      </c>
      <c r="G40" s="173">
        <v>0</v>
      </c>
      <c r="H40" s="173">
        <v>0</v>
      </c>
      <c r="I40" s="173">
        <v>220</v>
      </c>
      <c r="J40" s="173">
        <v>220</v>
      </c>
      <c r="K40" s="173">
        <v>220</v>
      </c>
      <c r="L40" s="173">
        <v>220</v>
      </c>
      <c r="M40" s="181">
        <v>220</v>
      </c>
      <c r="N40" s="271"/>
    </row>
    <row r="41" spans="1:14" ht="23.25" customHeight="1" x14ac:dyDescent="0.25">
      <c r="A41" s="773"/>
      <c r="B41" s="777" t="s">
        <v>193</v>
      </c>
      <c r="C41" s="778"/>
      <c r="D41" s="173">
        <v>220</v>
      </c>
      <c r="E41" s="173">
        <v>220</v>
      </c>
      <c r="F41" s="173">
        <v>220</v>
      </c>
      <c r="G41" s="173">
        <v>220</v>
      </c>
      <c r="H41" s="173">
        <v>220</v>
      </c>
      <c r="I41" s="173">
        <v>220</v>
      </c>
      <c r="J41" s="173">
        <v>220</v>
      </c>
      <c r="K41" s="173">
        <v>220</v>
      </c>
      <c r="L41" s="173">
        <v>220</v>
      </c>
      <c r="M41" s="181">
        <v>220</v>
      </c>
      <c r="N41" s="271"/>
    </row>
    <row r="42" spans="1:14" ht="25.5" customHeight="1" x14ac:dyDescent="0.25">
      <c r="A42" s="773"/>
      <c r="B42" s="777" t="s">
        <v>2</v>
      </c>
      <c r="C42" s="778"/>
      <c r="D42" s="173">
        <v>0</v>
      </c>
      <c r="E42" s="173">
        <v>0</v>
      </c>
      <c r="F42" s="173">
        <v>0</v>
      </c>
      <c r="G42" s="173">
        <v>220</v>
      </c>
      <c r="H42" s="173">
        <v>220</v>
      </c>
      <c r="I42" s="173">
        <v>220</v>
      </c>
      <c r="J42" s="173">
        <v>220</v>
      </c>
      <c r="K42" s="173">
        <v>220</v>
      </c>
      <c r="L42" s="173">
        <v>220</v>
      </c>
      <c r="M42" s="181">
        <v>220</v>
      </c>
      <c r="N42" s="271"/>
    </row>
    <row r="43" spans="1:14" ht="25.5" customHeight="1" x14ac:dyDescent="0.25">
      <c r="A43" s="773"/>
      <c r="B43" s="777" t="s">
        <v>194</v>
      </c>
      <c r="C43" s="778"/>
      <c r="D43" s="173">
        <v>220</v>
      </c>
      <c r="E43" s="173">
        <v>0</v>
      </c>
      <c r="F43" s="173">
        <v>0</v>
      </c>
      <c r="G43" s="173">
        <v>0</v>
      </c>
      <c r="H43" s="173">
        <v>0</v>
      </c>
      <c r="I43" s="173">
        <v>220</v>
      </c>
      <c r="J43" s="173">
        <v>220</v>
      </c>
      <c r="K43" s="173">
        <v>220</v>
      </c>
      <c r="L43" s="173">
        <v>220</v>
      </c>
      <c r="M43" s="181">
        <v>220</v>
      </c>
      <c r="N43" s="271"/>
    </row>
    <row r="44" spans="1:14" ht="25.5" customHeight="1" x14ac:dyDescent="0.25">
      <c r="A44" s="773"/>
      <c r="B44" s="782" t="s">
        <v>1</v>
      </c>
      <c r="C44" s="786"/>
      <c r="D44" s="173">
        <v>0</v>
      </c>
      <c r="E44" s="173">
        <v>220</v>
      </c>
      <c r="F44" s="173">
        <v>220</v>
      </c>
      <c r="G44" s="173">
        <v>220</v>
      </c>
      <c r="H44" s="173">
        <v>220</v>
      </c>
      <c r="I44" s="173">
        <v>440</v>
      </c>
      <c r="J44" s="173">
        <v>440</v>
      </c>
      <c r="K44" s="173">
        <v>440</v>
      </c>
      <c r="L44" s="173">
        <v>660</v>
      </c>
      <c r="M44" s="181">
        <v>660</v>
      </c>
      <c r="N44" s="271"/>
    </row>
    <row r="45" spans="1:14" ht="24.75" customHeight="1" x14ac:dyDescent="0.25">
      <c r="A45" s="773"/>
      <c r="B45" s="781" t="s">
        <v>242</v>
      </c>
      <c r="C45" s="782"/>
      <c r="D45" s="173">
        <v>0</v>
      </c>
      <c r="E45" s="173">
        <v>0</v>
      </c>
      <c r="F45" s="173">
        <v>0</v>
      </c>
      <c r="G45" s="173">
        <v>0</v>
      </c>
      <c r="H45" s="173">
        <v>1</v>
      </c>
      <c r="I45" s="173">
        <v>1</v>
      </c>
      <c r="J45" s="173">
        <v>1</v>
      </c>
      <c r="K45" s="173">
        <v>1</v>
      </c>
      <c r="L45" s="173">
        <v>1</v>
      </c>
      <c r="M45" s="181">
        <v>1</v>
      </c>
      <c r="N45" s="271"/>
    </row>
    <row r="46" spans="1:14" ht="24.75" customHeight="1" thickBot="1" x14ac:dyDescent="0.3">
      <c r="A46" s="774"/>
      <c r="B46" s="779" t="s">
        <v>243</v>
      </c>
      <c r="C46" s="780"/>
      <c r="D46" s="182">
        <v>2</v>
      </c>
      <c r="E46" s="182">
        <v>2</v>
      </c>
      <c r="F46" s="182">
        <v>2</v>
      </c>
      <c r="G46" s="182">
        <v>2</v>
      </c>
      <c r="H46" s="182">
        <v>2</v>
      </c>
      <c r="I46" s="182">
        <v>2</v>
      </c>
      <c r="J46" s="182">
        <v>2</v>
      </c>
      <c r="K46" s="182">
        <v>4</v>
      </c>
      <c r="L46" s="182">
        <v>4</v>
      </c>
      <c r="M46" s="183">
        <v>4</v>
      </c>
    </row>
    <row r="47" spans="1:14" ht="24.75" customHeight="1" x14ac:dyDescent="0.25">
      <c r="A47" s="764"/>
      <c r="B47" s="765"/>
      <c r="C47" s="765"/>
      <c r="D47" s="765"/>
      <c r="E47" s="765"/>
      <c r="F47" s="765"/>
      <c r="G47" s="765"/>
      <c r="H47" s="765"/>
    </row>
    <row r="48" spans="1:14" ht="24.75" customHeight="1" x14ac:dyDescent="0.25"/>
    <row r="49" spans="10:12" ht="24" customHeight="1" x14ac:dyDescent="0.25"/>
    <row r="53" spans="10:12" ht="39.75" customHeight="1" x14ac:dyDescent="0.25"/>
    <row r="54" spans="10:12" ht="32.25" customHeight="1" x14ac:dyDescent="0.25"/>
    <row r="55" spans="10:12" x14ac:dyDescent="0.25">
      <c r="J55" s="233"/>
      <c r="K55" s="234"/>
      <c r="L55" s="234"/>
    </row>
    <row r="56" spans="10:12" ht="24.75" customHeight="1" x14ac:dyDescent="0.25">
      <c r="J56" s="233"/>
      <c r="K56" s="234"/>
      <c r="L56" s="234"/>
    </row>
    <row r="57" spans="10:12" ht="24.75" customHeight="1" x14ac:dyDescent="0.25">
      <c r="J57" s="233"/>
      <c r="K57" s="234"/>
      <c r="L57" s="234"/>
    </row>
    <row r="58" spans="10:12" ht="23.25" customHeight="1" x14ac:dyDescent="0.25"/>
    <row r="59" spans="10:12" ht="35.25" customHeight="1" x14ac:dyDescent="0.25"/>
    <row r="60" spans="10:12" ht="36" customHeight="1" x14ac:dyDescent="0.25"/>
    <row r="61" spans="10:12" ht="27" customHeight="1" x14ac:dyDescent="0.25"/>
    <row r="62" spans="10:12" ht="27" customHeight="1" x14ac:dyDescent="0.25"/>
    <row r="63" spans="10:12" ht="25.5" customHeight="1" x14ac:dyDescent="0.25"/>
    <row r="64" spans="10:12" ht="25.5" customHeight="1" x14ac:dyDescent="0.25"/>
    <row r="65" ht="26.25" customHeight="1" x14ac:dyDescent="0.25"/>
    <row r="66" ht="26.25" customHeight="1" x14ac:dyDescent="0.25"/>
    <row r="67" ht="26.25" customHeight="1" x14ac:dyDescent="0.25"/>
    <row r="68" ht="27.75" customHeight="1" x14ac:dyDescent="0.25"/>
    <row r="69" ht="27.75" customHeight="1" x14ac:dyDescent="0.25"/>
    <row r="70" ht="30" customHeight="1" x14ac:dyDescent="0.25"/>
    <row r="71" ht="25.5" customHeight="1" x14ac:dyDescent="0.25"/>
    <row r="72" ht="21" customHeight="1" x14ac:dyDescent="0.25"/>
    <row r="73" ht="29.25" customHeight="1" x14ac:dyDescent="0.25"/>
    <row r="74" ht="23.25" customHeight="1" x14ac:dyDescent="0.25"/>
    <row r="84" ht="29.25" customHeight="1" x14ac:dyDescent="0.25"/>
    <row r="85" ht="29.25" customHeight="1" x14ac:dyDescent="0.25"/>
  </sheetData>
  <sheetProtection selectLockedCells="1"/>
  <mergeCells count="46">
    <mergeCell ref="P9:P10"/>
    <mergeCell ref="T22:V22"/>
    <mergeCell ref="B44:C44"/>
    <mergeCell ref="A28:M28"/>
    <mergeCell ref="B27:M27"/>
    <mergeCell ref="E31:H31"/>
    <mergeCell ref="F26:G26"/>
    <mergeCell ref="B26:C26"/>
    <mergeCell ref="A12:A24"/>
    <mergeCell ref="I31:L31"/>
    <mergeCell ref="P13:P14"/>
    <mergeCell ref="P15:P16"/>
    <mergeCell ref="P17:P18"/>
    <mergeCell ref="P11:P12"/>
    <mergeCell ref="A47:H47"/>
    <mergeCell ref="A31:B33"/>
    <mergeCell ref="A34:A46"/>
    <mergeCell ref="B34:C34"/>
    <mergeCell ref="B35:C35"/>
    <mergeCell ref="B38:C38"/>
    <mergeCell ref="B39:C39"/>
    <mergeCell ref="B40:C40"/>
    <mergeCell ref="B41:C41"/>
    <mergeCell ref="B42:C42"/>
    <mergeCell ref="B43:C43"/>
    <mergeCell ref="B46:C46"/>
    <mergeCell ref="B45:C45"/>
    <mergeCell ref="B36:C36"/>
    <mergeCell ref="C31:C32"/>
    <mergeCell ref="B37:C37"/>
    <mergeCell ref="A8:L8"/>
    <mergeCell ref="A11:B11"/>
    <mergeCell ref="P1:S1"/>
    <mergeCell ref="A1:B4"/>
    <mergeCell ref="A6:B6"/>
    <mergeCell ref="A7:L7"/>
    <mergeCell ref="C1:L1"/>
    <mergeCell ref="C2:L2"/>
    <mergeCell ref="C3:L3"/>
    <mergeCell ref="C4:L4"/>
    <mergeCell ref="C6:L6"/>
    <mergeCell ref="R2:S2"/>
    <mergeCell ref="P2:P3"/>
    <mergeCell ref="Q2:Q3"/>
    <mergeCell ref="P4:P6"/>
    <mergeCell ref="P7:P8"/>
  </mergeCells>
  <phoneticPr fontId="0" type="noConversion"/>
  <printOptions horizontalCentered="1" verticalCentered="1"/>
  <pageMargins left="0.31496062992125984" right="0.31496062992125984" top="0.59055118110236227" bottom="0.59055118110236227" header="0.31496062992125984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GridLines="0" zoomScale="80" zoomScaleNormal="80" workbookViewId="0">
      <selection activeCell="F7" sqref="F7"/>
    </sheetView>
  </sheetViews>
  <sheetFormatPr defaultColWidth="9.140625" defaultRowHeight="15" x14ac:dyDescent="0.25"/>
  <cols>
    <col min="1" max="1" width="4.42578125" style="67" customWidth="1"/>
    <col min="2" max="2" width="19.42578125" style="67" customWidth="1"/>
    <col min="3" max="3" width="19.7109375" style="67" customWidth="1"/>
    <col min="4" max="4" width="14.85546875" style="67" customWidth="1"/>
    <col min="5" max="5" width="15.140625" style="67" customWidth="1"/>
    <col min="6" max="6" width="15" style="67" customWidth="1"/>
    <col min="7" max="7" width="16.85546875" style="67" customWidth="1"/>
    <col min="8" max="8" width="15.85546875" style="67" customWidth="1"/>
    <col min="9" max="9" width="16" style="67" customWidth="1"/>
    <col min="10" max="10" width="19.28515625" style="67" customWidth="1"/>
    <col min="11" max="11" width="15.7109375" style="67" customWidth="1"/>
    <col min="12" max="12" width="15" style="67" customWidth="1"/>
    <col min="13" max="16384" width="9.140625" style="67"/>
  </cols>
  <sheetData>
    <row r="1" spans="1:22" ht="21.75" customHeight="1" x14ac:dyDescent="0.3">
      <c r="A1" s="803" t="s">
        <v>171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5"/>
    </row>
    <row r="2" spans="1:22" ht="21" customHeight="1" x14ac:dyDescent="0.3">
      <c r="A2" s="806" t="s">
        <v>681</v>
      </c>
      <c r="B2" s="807"/>
      <c r="C2" s="807"/>
      <c r="D2" s="807"/>
      <c r="E2" s="807"/>
      <c r="F2" s="807"/>
      <c r="G2" s="807"/>
      <c r="H2" s="807"/>
      <c r="I2" s="807"/>
      <c r="J2" s="807"/>
      <c r="K2" s="807"/>
      <c r="L2" s="808"/>
    </row>
    <row r="3" spans="1:22" ht="21" customHeight="1" x14ac:dyDescent="0.3">
      <c r="A3" s="806" t="s">
        <v>758</v>
      </c>
      <c r="B3" s="807"/>
      <c r="C3" s="807"/>
      <c r="D3" s="807"/>
      <c r="E3" s="807"/>
      <c r="F3" s="807"/>
      <c r="G3" s="807"/>
      <c r="H3" s="807"/>
      <c r="I3" s="807"/>
      <c r="J3" s="807"/>
      <c r="K3" s="807"/>
      <c r="L3" s="808"/>
    </row>
    <row r="4" spans="1:22" ht="21.75" customHeight="1" thickBot="1" x14ac:dyDescent="0.3">
      <c r="A4" s="809" t="s">
        <v>883</v>
      </c>
      <c r="B4" s="810"/>
      <c r="C4" s="810"/>
      <c r="D4" s="810"/>
      <c r="E4" s="810"/>
      <c r="F4" s="810"/>
      <c r="G4" s="810"/>
      <c r="H4" s="810"/>
      <c r="I4" s="810"/>
      <c r="J4" s="810"/>
      <c r="K4" s="810"/>
      <c r="L4" s="811"/>
      <c r="M4" s="454"/>
      <c r="N4" s="454"/>
      <c r="O4" s="454"/>
      <c r="P4" s="454"/>
      <c r="Q4" s="454"/>
      <c r="R4" s="454"/>
      <c r="S4" s="454"/>
      <c r="T4" s="454"/>
      <c r="U4" s="454"/>
      <c r="V4" s="454"/>
    </row>
    <row r="5" spans="1:22" ht="20.25" customHeight="1" thickBot="1" x14ac:dyDescent="0.3">
      <c r="A5" s="824" t="s">
        <v>161</v>
      </c>
      <c r="B5" s="825"/>
      <c r="C5" s="826" t="s">
        <v>885</v>
      </c>
      <c r="D5" s="827"/>
      <c r="E5" s="827"/>
      <c r="F5" s="827"/>
      <c r="G5" s="827"/>
      <c r="H5" s="827"/>
      <c r="I5" s="827"/>
      <c r="J5" s="828"/>
      <c r="K5" s="31" t="s">
        <v>35</v>
      </c>
      <c r="L5" s="32">
        <f>'Prazo Valor'!J16</f>
        <v>360</v>
      </c>
    </row>
    <row r="6" spans="1:22" s="461" customFormat="1" ht="30.75" customHeight="1" thickBot="1" x14ac:dyDescent="0.3">
      <c r="A6" s="829"/>
      <c r="B6" s="830"/>
      <c r="C6" s="455" t="s">
        <v>4</v>
      </c>
      <c r="D6" s="456" t="s">
        <v>222</v>
      </c>
      <c r="E6" s="456" t="s">
        <v>226</v>
      </c>
      <c r="F6" s="456" t="s">
        <v>294</v>
      </c>
      <c r="G6" s="456" t="s">
        <v>295</v>
      </c>
      <c r="H6" s="457" t="s">
        <v>195</v>
      </c>
      <c r="I6" s="458" t="s">
        <v>359</v>
      </c>
      <c r="J6" s="459"/>
      <c r="K6" s="35" t="s">
        <v>207</v>
      </c>
      <c r="L6" s="460">
        <f>'Pes. Produção'!G21+'Pes. Admin.'!D26</f>
        <v>8</v>
      </c>
    </row>
    <row r="7" spans="1:22" s="461" customFormat="1" ht="30.75" customHeight="1" thickBot="1" x14ac:dyDescent="0.3">
      <c r="A7" s="831" t="s">
        <v>196</v>
      </c>
      <c r="B7" s="462" t="s">
        <v>216</v>
      </c>
      <c r="C7" s="463" t="s">
        <v>189</v>
      </c>
      <c r="D7" s="464">
        <v>1</v>
      </c>
      <c r="E7" s="30">
        <f>L5/30</f>
        <v>12</v>
      </c>
      <c r="F7" s="465">
        <f>I7*(1+(L8/100))</f>
        <v>94.151099999999985</v>
      </c>
      <c r="G7" s="77">
        <f>I7*(1+(L7/100))</f>
        <v>75.326999999999998</v>
      </c>
      <c r="H7" s="74">
        <f>D7*E7*F7</f>
        <v>1129.8131999999998</v>
      </c>
      <c r="I7" s="76">
        <f>'Pes. Admin.'!I13</f>
        <v>51</v>
      </c>
      <c r="J7" s="466">
        <f>(I7*(L8/100))+I7</f>
        <v>94.1511</v>
      </c>
      <c r="K7" s="467" t="s">
        <v>199</v>
      </c>
      <c r="L7" s="468">
        <f>'Pes. Admin.'!N3</f>
        <v>47.7</v>
      </c>
    </row>
    <row r="8" spans="1:22" s="461" customFormat="1" ht="30.75" customHeight="1" thickBot="1" x14ac:dyDescent="0.3">
      <c r="A8" s="832"/>
      <c r="B8" s="469" t="s">
        <v>592</v>
      </c>
      <c r="C8" s="463" t="s">
        <v>189</v>
      </c>
      <c r="D8" s="470">
        <v>0</v>
      </c>
      <c r="E8" s="30">
        <f>L5/30</f>
        <v>12</v>
      </c>
      <c r="F8" s="465">
        <f>I8*(1+(L8/100))</f>
        <v>94.151099999999985</v>
      </c>
      <c r="G8" s="77">
        <f>I8*(1+(L7/100))</f>
        <v>75.326999999999998</v>
      </c>
      <c r="H8" s="74">
        <f>D8*E8*F8</f>
        <v>0</v>
      </c>
      <c r="I8" s="76">
        <f>'Pes. Admin.'!I13</f>
        <v>51</v>
      </c>
      <c r="J8" s="466">
        <f>(I8*(L8/100))+I8</f>
        <v>94.1511</v>
      </c>
      <c r="K8" s="467" t="s">
        <v>198</v>
      </c>
      <c r="L8" s="468">
        <f>'Pes. Admin.'!N2</f>
        <v>84.61</v>
      </c>
    </row>
    <row r="9" spans="1:22" s="461" customFormat="1" ht="30.75" customHeight="1" thickBot="1" x14ac:dyDescent="0.3">
      <c r="A9" s="833"/>
      <c r="B9" s="471" t="s">
        <v>215</v>
      </c>
      <c r="C9" s="472" t="s">
        <v>189</v>
      </c>
      <c r="D9" s="473">
        <v>0</v>
      </c>
      <c r="E9" s="34">
        <f>L5/30</f>
        <v>12</v>
      </c>
      <c r="F9" s="60">
        <f>I9*(1+(L8/100))</f>
        <v>44.306399999999996</v>
      </c>
      <c r="G9" s="474">
        <f>I9*(1+(L7/100))</f>
        <v>35.448</v>
      </c>
      <c r="H9" s="75">
        <f>D9*E9*G9</f>
        <v>0</v>
      </c>
      <c r="I9" s="76">
        <f>'Pes. Admin.'!I16</f>
        <v>24</v>
      </c>
      <c r="J9" s="466">
        <f>(I9*(L8/100))+I9</f>
        <v>44.306399999999996</v>
      </c>
      <c r="L9" s="475"/>
    </row>
    <row r="10" spans="1:22" ht="18.75" customHeight="1" thickBot="1" x14ac:dyDescent="0.35">
      <c r="A10" s="476"/>
      <c r="B10" s="477"/>
      <c r="F10" s="478"/>
      <c r="G10" s="479" t="s">
        <v>232</v>
      </c>
      <c r="H10" s="480">
        <f>SUM(H7:H9)</f>
        <v>1129.8131999999998</v>
      </c>
      <c r="L10" s="481"/>
    </row>
    <row r="11" spans="1:22" ht="18.75" customHeight="1" thickBot="1" x14ac:dyDescent="0.3">
      <c r="A11" s="476"/>
      <c r="B11" s="477"/>
      <c r="L11" s="481"/>
    </row>
    <row r="12" spans="1:22" ht="17.25" customHeight="1" thickBot="1" x14ac:dyDescent="0.3">
      <c r="A12" s="834" t="s">
        <v>220</v>
      </c>
      <c r="B12" s="835"/>
      <c r="C12" s="836"/>
      <c r="D12" s="812" t="s">
        <v>361</v>
      </c>
      <c r="E12" s="813"/>
      <c r="F12" s="813"/>
      <c r="G12" s="813"/>
      <c r="H12" s="813"/>
      <c r="I12" s="813"/>
      <c r="J12" s="814"/>
      <c r="K12" s="454"/>
      <c r="L12" s="482"/>
    </row>
    <row r="13" spans="1:22" ht="27.75" customHeight="1" thickBot="1" x14ac:dyDescent="0.3">
      <c r="A13" s="837"/>
      <c r="B13" s="838"/>
      <c r="C13" s="839"/>
      <c r="D13" s="483" t="s">
        <v>362</v>
      </c>
      <c r="E13" s="483" t="s">
        <v>363</v>
      </c>
      <c r="F13" s="483" t="s">
        <v>364</v>
      </c>
      <c r="G13" s="483" t="s">
        <v>365</v>
      </c>
      <c r="H13" s="484" t="s">
        <v>366</v>
      </c>
      <c r="I13" s="485" t="s">
        <v>367</v>
      </c>
      <c r="J13" s="486" t="s">
        <v>368</v>
      </c>
      <c r="K13" s="487"/>
      <c r="L13" s="488"/>
    </row>
    <row r="14" spans="1:22" ht="22.5" customHeight="1" x14ac:dyDescent="0.25">
      <c r="A14" s="815" t="s">
        <v>196</v>
      </c>
      <c r="B14" s="818" t="s">
        <v>213</v>
      </c>
      <c r="C14" s="819"/>
      <c r="D14" s="489">
        <v>0</v>
      </c>
      <c r="E14" s="489">
        <v>0</v>
      </c>
      <c r="F14" s="489">
        <v>110</v>
      </c>
      <c r="G14" s="489">
        <v>220</v>
      </c>
      <c r="H14" s="490">
        <v>220</v>
      </c>
      <c r="I14" s="81">
        <v>440</v>
      </c>
      <c r="J14" s="83" t="s">
        <v>370</v>
      </c>
      <c r="K14" s="491"/>
      <c r="L14" s="492"/>
    </row>
    <row r="15" spans="1:22" ht="22.5" customHeight="1" x14ac:dyDescent="0.25">
      <c r="A15" s="816"/>
      <c r="B15" s="820" t="s">
        <v>214</v>
      </c>
      <c r="C15" s="821"/>
      <c r="D15" s="493">
        <v>0</v>
      </c>
      <c r="E15" s="494">
        <v>0</v>
      </c>
      <c r="F15" s="494">
        <v>110</v>
      </c>
      <c r="G15" s="494">
        <v>220</v>
      </c>
      <c r="H15" s="493">
        <v>220</v>
      </c>
      <c r="I15" s="82">
        <v>440</v>
      </c>
      <c r="J15" s="83" t="s">
        <v>370</v>
      </c>
      <c r="K15" s="491"/>
      <c r="L15" s="492"/>
    </row>
    <row r="16" spans="1:22" ht="22.5" customHeight="1" thickBot="1" x14ac:dyDescent="0.3">
      <c r="A16" s="817"/>
      <c r="B16" s="822" t="s">
        <v>215</v>
      </c>
      <c r="C16" s="823"/>
      <c r="D16" s="495">
        <v>220</v>
      </c>
      <c r="E16" s="495">
        <v>440</v>
      </c>
      <c r="F16" s="495">
        <v>660</v>
      </c>
      <c r="G16" s="495">
        <v>880</v>
      </c>
      <c r="H16" s="496">
        <v>1320</v>
      </c>
      <c r="I16" s="79">
        <v>1760</v>
      </c>
      <c r="J16" s="80" t="s">
        <v>369</v>
      </c>
      <c r="K16" s="497"/>
      <c r="L16" s="492"/>
    </row>
    <row r="17" spans="1:19" ht="18" customHeight="1" thickBot="1" x14ac:dyDescent="0.3">
      <c r="A17" s="476"/>
      <c r="L17" s="481"/>
    </row>
    <row r="18" spans="1:19" ht="18" customHeight="1" thickBot="1" x14ac:dyDescent="0.3">
      <c r="A18" s="834" t="s">
        <v>221</v>
      </c>
      <c r="B18" s="835"/>
      <c r="C18" s="836"/>
      <c r="D18" s="812" t="s">
        <v>225</v>
      </c>
      <c r="E18" s="813"/>
      <c r="F18" s="813"/>
      <c r="G18" s="813"/>
      <c r="H18" s="814"/>
      <c r="I18" s="857" t="s">
        <v>438</v>
      </c>
      <c r="L18" s="481"/>
    </row>
    <row r="19" spans="1:19" ht="18" customHeight="1" thickBot="1" x14ac:dyDescent="0.3">
      <c r="A19" s="837"/>
      <c r="B19" s="840"/>
      <c r="C19" s="841"/>
      <c r="D19" s="588" t="s">
        <v>208</v>
      </c>
      <c r="E19" s="498" t="s">
        <v>209</v>
      </c>
      <c r="F19" s="498" t="s">
        <v>210</v>
      </c>
      <c r="G19" s="498" t="s">
        <v>211</v>
      </c>
      <c r="H19" s="499" t="s">
        <v>212</v>
      </c>
      <c r="I19" s="858"/>
      <c r="L19" s="481"/>
    </row>
    <row r="20" spans="1:19" ht="22.5" customHeight="1" x14ac:dyDescent="0.25">
      <c r="A20" s="815" t="s">
        <v>217</v>
      </c>
      <c r="B20" s="859" t="s">
        <v>892</v>
      </c>
      <c r="C20" s="860"/>
      <c r="D20" s="589">
        <v>1500</v>
      </c>
      <c r="E20" s="500">
        <v>1900</v>
      </c>
      <c r="F20" s="500">
        <v>2300</v>
      </c>
      <c r="G20" s="500">
        <v>2700</v>
      </c>
      <c r="H20" s="501">
        <v>3000</v>
      </c>
      <c r="I20" s="502">
        <v>1500</v>
      </c>
      <c r="L20" s="481"/>
    </row>
    <row r="21" spans="1:19" ht="22.5" customHeight="1" x14ac:dyDescent="0.25">
      <c r="A21" s="816"/>
      <c r="B21" s="861" t="s">
        <v>218</v>
      </c>
      <c r="C21" s="862"/>
      <c r="D21" s="503">
        <v>1500</v>
      </c>
      <c r="E21" s="503">
        <v>1900</v>
      </c>
      <c r="F21" s="503">
        <v>2300</v>
      </c>
      <c r="G21" s="503">
        <v>2700</v>
      </c>
      <c r="H21" s="504">
        <v>3000</v>
      </c>
      <c r="I21" s="502">
        <v>1500</v>
      </c>
      <c r="L21" s="481"/>
    </row>
    <row r="22" spans="1:19" ht="21.75" customHeight="1" thickBot="1" x14ac:dyDescent="0.3">
      <c r="A22" s="817"/>
      <c r="B22" s="861" t="s">
        <v>219</v>
      </c>
      <c r="C22" s="862"/>
      <c r="D22" s="503">
        <v>0</v>
      </c>
      <c r="E22" s="503">
        <v>900</v>
      </c>
      <c r="F22" s="503">
        <v>1000</v>
      </c>
      <c r="G22" s="503">
        <v>1100</v>
      </c>
      <c r="H22" s="505">
        <v>1200</v>
      </c>
      <c r="I22" s="502">
        <v>0</v>
      </c>
      <c r="L22" s="481"/>
      <c r="O22" s="67">
        <v>1500</v>
      </c>
      <c r="P22" s="67">
        <v>1950</v>
      </c>
      <c r="Q22" s="67">
        <v>2300</v>
      </c>
      <c r="R22" s="67">
        <v>2750</v>
      </c>
      <c r="S22" s="67">
        <v>3000</v>
      </c>
    </row>
    <row r="23" spans="1:19" ht="19.5" customHeight="1" thickBot="1" x14ac:dyDescent="0.35">
      <c r="A23" s="476"/>
      <c r="H23" s="479" t="s">
        <v>233</v>
      </c>
      <c r="I23" s="506">
        <f>I20+I21</f>
        <v>3000</v>
      </c>
      <c r="L23" s="481"/>
    </row>
    <row r="24" spans="1:19" ht="18.75" customHeight="1" thickBot="1" x14ac:dyDescent="0.3">
      <c r="A24" s="476"/>
      <c r="B24" s="477"/>
      <c r="L24" s="481"/>
    </row>
    <row r="25" spans="1:19" ht="18.75" customHeight="1" thickBot="1" x14ac:dyDescent="0.3">
      <c r="A25" s="834" t="s">
        <v>221</v>
      </c>
      <c r="B25" s="835"/>
      <c r="C25" s="836"/>
      <c r="D25" s="812" t="s">
        <v>231</v>
      </c>
      <c r="E25" s="813"/>
      <c r="F25" s="813"/>
      <c r="G25" s="813"/>
      <c r="H25" s="847"/>
      <c r="I25" s="848"/>
      <c r="J25" s="799" t="s">
        <v>439</v>
      </c>
      <c r="L25" s="481"/>
    </row>
    <row r="26" spans="1:19" ht="17.25" customHeight="1" thickBot="1" x14ac:dyDescent="0.3">
      <c r="A26" s="837"/>
      <c r="B26" s="838"/>
      <c r="C26" s="839"/>
      <c r="D26" s="845" t="s">
        <v>245</v>
      </c>
      <c r="E26" s="846"/>
      <c r="F26" s="845" t="s">
        <v>246</v>
      </c>
      <c r="G26" s="849"/>
      <c r="H26" s="850" t="s">
        <v>247</v>
      </c>
      <c r="I26" s="851"/>
      <c r="J26" s="800"/>
      <c r="L26" s="481"/>
    </row>
    <row r="27" spans="1:19" ht="18" customHeight="1" thickBot="1" x14ac:dyDescent="0.3">
      <c r="A27" s="842" t="s">
        <v>227</v>
      </c>
      <c r="B27" s="843"/>
      <c r="C27" s="844"/>
      <c r="D27" s="854">
        <v>700</v>
      </c>
      <c r="E27" s="856"/>
      <c r="F27" s="854">
        <v>800</v>
      </c>
      <c r="G27" s="855"/>
      <c r="H27" s="852">
        <v>900</v>
      </c>
      <c r="I27" s="853"/>
      <c r="J27" s="587">
        <v>0</v>
      </c>
      <c r="L27" s="481"/>
    </row>
    <row r="28" spans="1:19" ht="18.75" customHeight="1" x14ac:dyDescent="0.3">
      <c r="A28" s="476"/>
      <c r="H28" s="801" t="s">
        <v>234</v>
      </c>
      <c r="I28" s="802"/>
      <c r="J28" s="507">
        <f>J27</f>
        <v>0</v>
      </c>
      <c r="L28" s="481"/>
    </row>
    <row r="29" spans="1:19" ht="18.75" customHeight="1" thickBot="1" x14ac:dyDescent="0.3">
      <c r="A29" s="476"/>
      <c r="L29" s="481"/>
    </row>
    <row r="30" spans="1:19" ht="21.75" thickBot="1" x14ac:dyDescent="0.35">
      <c r="A30" s="476"/>
      <c r="F30" s="508" t="s">
        <v>440</v>
      </c>
      <c r="G30" s="509">
        <f>H10+I23+J28</f>
        <v>4129.8131999999996</v>
      </c>
      <c r="L30" s="481"/>
    </row>
    <row r="31" spans="1:19" x14ac:dyDescent="0.25">
      <c r="A31" s="476"/>
      <c r="L31" s="481"/>
    </row>
    <row r="32" spans="1:19" ht="15.75" thickBot="1" x14ac:dyDescent="0.3">
      <c r="A32" s="510"/>
      <c r="B32" s="511"/>
      <c r="C32" s="511"/>
      <c r="D32" s="511"/>
      <c r="E32" s="511"/>
      <c r="F32" s="511"/>
      <c r="G32" s="511"/>
      <c r="H32" s="511"/>
      <c r="I32" s="511"/>
      <c r="J32" s="511"/>
      <c r="K32" s="511"/>
      <c r="L32" s="512"/>
    </row>
  </sheetData>
  <sheetProtection selectLockedCells="1"/>
  <mergeCells count="32">
    <mergeCell ref="A12:C13"/>
    <mergeCell ref="A18:C19"/>
    <mergeCell ref="A27:C27"/>
    <mergeCell ref="D26:E26"/>
    <mergeCell ref="D25:I25"/>
    <mergeCell ref="A25:C26"/>
    <mergeCell ref="F26:G26"/>
    <mergeCell ref="H26:I26"/>
    <mergeCell ref="H27:I27"/>
    <mergeCell ref="F27:G27"/>
    <mergeCell ref="D27:E27"/>
    <mergeCell ref="I18:I19"/>
    <mergeCell ref="A20:A22"/>
    <mergeCell ref="B20:C20"/>
    <mergeCell ref="B21:C21"/>
    <mergeCell ref="B22:C22"/>
    <mergeCell ref="J25:J26"/>
    <mergeCell ref="H28:I28"/>
    <mergeCell ref="A1:L1"/>
    <mergeCell ref="A2:L2"/>
    <mergeCell ref="A3:L3"/>
    <mergeCell ref="A4:L4"/>
    <mergeCell ref="D18:H18"/>
    <mergeCell ref="A14:A16"/>
    <mergeCell ref="B14:C14"/>
    <mergeCell ref="B15:C15"/>
    <mergeCell ref="B16:C16"/>
    <mergeCell ref="A5:B5"/>
    <mergeCell ref="C5:J5"/>
    <mergeCell ref="A6:B6"/>
    <mergeCell ref="D12:J12"/>
    <mergeCell ref="A7:A9"/>
  </mergeCells>
  <printOptions horizontalCentered="1" verticalCentered="1"/>
  <pageMargins left="0.31496062992125984" right="0.31496062992125984" top="0.59055118110236227" bottom="0.52" header="0.31496062992125984" footer="0.31496062992125984"/>
  <pageSetup paperSize="9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topLeftCell="A4" zoomScale="60" zoomScaleNormal="60" workbookViewId="0">
      <selection activeCell="I13" sqref="I13"/>
    </sheetView>
  </sheetViews>
  <sheetFormatPr defaultRowHeight="15" x14ac:dyDescent="0.25"/>
  <cols>
    <col min="2" max="2" width="45.7109375" customWidth="1"/>
    <col min="3" max="3" width="20.7109375" customWidth="1"/>
    <col min="4" max="4" width="20.42578125" customWidth="1"/>
    <col min="5" max="6" width="20.7109375" customWidth="1"/>
    <col min="7" max="7" width="9.7109375" customWidth="1"/>
    <col min="8" max="8" width="10.7109375" customWidth="1"/>
    <col min="9" max="11" width="20.7109375" customWidth="1"/>
    <col min="13" max="13" width="30.85546875" customWidth="1"/>
  </cols>
  <sheetData>
    <row r="1" spans="1:13" ht="33.75" customHeight="1" x14ac:dyDescent="0.25">
      <c r="A1" s="880" t="s">
        <v>171</v>
      </c>
      <c r="B1" s="881"/>
      <c r="C1" s="881"/>
      <c r="D1" s="881"/>
      <c r="E1" s="881"/>
      <c r="F1" s="881"/>
      <c r="G1" s="881"/>
      <c r="H1" s="881"/>
      <c r="I1" s="881"/>
      <c r="J1" s="881"/>
      <c r="K1" s="882"/>
    </row>
    <row r="2" spans="1:13" ht="33.75" customHeight="1" x14ac:dyDescent="0.25">
      <c r="A2" s="883" t="s">
        <v>681</v>
      </c>
      <c r="B2" s="884"/>
      <c r="C2" s="884"/>
      <c r="D2" s="884"/>
      <c r="E2" s="884"/>
      <c r="F2" s="884"/>
      <c r="G2" s="884"/>
      <c r="H2" s="884"/>
      <c r="I2" s="884"/>
      <c r="J2" s="884"/>
      <c r="K2" s="885"/>
    </row>
    <row r="3" spans="1:13" ht="33.75" customHeight="1" x14ac:dyDescent="0.25">
      <c r="A3" s="883" t="s">
        <v>758</v>
      </c>
      <c r="B3" s="884"/>
      <c r="C3" s="884"/>
      <c r="D3" s="884"/>
      <c r="E3" s="884"/>
      <c r="F3" s="884"/>
      <c r="G3" s="884"/>
      <c r="H3" s="884"/>
      <c r="I3" s="884"/>
      <c r="J3" s="884"/>
      <c r="K3" s="885"/>
    </row>
    <row r="4" spans="1:13" ht="33.75" customHeight="1" x14ac:dyDescent="0.25">
      <c r="A4" s="354"/>
      <c r="B4" s="355"/>
      <c r="C4" s="355"/>
      <c r="D4" s="355"/>
      <c r="E4" s="355" t="s">
        <v>762</v>
      </c>
      <c r="F4" s="355"/>
      <c r="G4" s="355"/>
      <c r="H4" s="355"/>
      <c r="I4" s="355"/>
      <c r="J4" s="355"/>
      <c r="K4" s="356"/>
    </row>
    <row r="5" spans="1:13" ht="30.75" customHeight="1" x14ac:dyDescent="0.25">
      <c r="A5" s="876" t="s">
        <v>499</v>
      </c>
      <c r="B5" s="877"/>
      <c r="C5" s="877"/>
      <c r="D5" s="877"/>
      <c r="E5" s="877"/>
      <c r="F5" s="877"/>
      <c r="G5" s="877"/>
      <c r="H5" s="878"/>
      <c r="I5" s="869" t="s">
        <v>498</v>
      </c>
      <c r="J5" s="869"/>
      <c r="K5" s="207">
        <f>'Prazo Valor'!J16</f>
        <v>360</v>
      </c>
    </row>
    <row r="6" spans="1:13" ht="31.5" customHeight="1" x14ac:dyDescent="0.25">
      <c r="A6" s="886" t="s">
        <v>507</v>
      </c>
      <c r="B6" s="875"/>
      <c r="C6" s="870" t="s">
        <v>500</v>
      </c>
      <c r="D6" s="870" t="s">
        <v>501</v>
      </c>
      <c r="E6" s="870" t="s">
        <v>502</v>
      </c>
      <c r="F6" s="872" t="s">
        <v>503</v>
      </c>
      <c r="G6" s="873" t="s">
        <v>504</v>
      </c>
      <c r="H6" s="875" t="s">
        <v>437</v>
      </c>
      <c r="I6" s="871" t="s">
        <v>36</v>
      </c>
      <c r="J6" s="871"/>
      <c r="K6" s="887" t="s">
        <v>506</v>
      </c>
      <c r="M6" s="879" t="s">
        <v>538</v>
      </c>
    </row>
    <row r="7" spans="1:13" ht="31.5" customHeight="1" x14ac:dyDescent="0.25">
      <c r="A7" s="886"/>
      <c r="B7" s="875"/>
      <c r="C7" s="870"/>
      <c r="D7" s="870"/>
      <c r="E7" s="870"/>
      <c r="F7" s="872"/>
      <c r="G7" s="874"/>
      <c r="H7" s="875"/>
      <c r="I7" s="196" t="s">
        <v>505</v>
      </c>
      <c r="J7" s="196" t="s">
        <v>373</v>
      </c>
      <c r="K7" s="888"/>
      <c r="M7" s="879"/>
    </row>
    <row r="8" spans="1:13" ht="30.75" customHeight="1" x14ac:dyDescent="0.25">
      <c r="A8" s="208" t="s">
        <v>129</v>
      </c>
      <c r="B8" s="188" t="s">
        <v>180</v>
      </c>
      <c r="C8" s="112">
        <v>10</v>
      </c>
      <c r="D8" s="189">
        <f>C8/12/100</f>
        <v>8.3333333333333332E-3</v>
      </c>
      <c r="E8" s="190">
        <f>K$5/30</f>
        <v>12</v>
      </c>
      <c r="F8" s="191">
        <f>D8*E8</f>
        <v>0.1</v>
      </c>
      <c r="G8" s="190" t="s">
        <v>162</v>
      </c>
      <c r="H8" s="192">
        <v>0</v>
      </c>
      <c r="I8" s="193">
        <f>F16</f>
        <v>0</v>
      </c>
      <c r="J8" s="194">
        <f>E8*K8</f>
        <v>0</v>
      </c>
      <c r="K8" s="209">
        <f>F16*D8*E8</f>
        <v>0</v>
      </c>
      <c r="M8" s="252"/>
    </row>
    <row r="9" spans="1:13" ht="39" customHeight="1" x14ac:dyDescent="0.25">
      <c r="A9" s="208" t="s">
        <v>130</v>
      </c>
      <c r="B9" s="195" t="s">
        <v>430</v>
      </c>
      <c r="C9" s="196" t="s">
        <v>181</v>
      </c>
      <c r="D9" s="196" t="s">
        <v>181</v>
      </c>
      <c r="E9" s="190">
        <f>K$5/30</f>
        <v>12</v>
      </c>
      <c r="F9" s="190" t="s">
        <v>181</v>
      </c>
      <c r="G9" s="190" t="s">
        <v>162</v>
      </c>
      <c r="H9" s="192">
        <v>0</v>
      </c>
      <c r="I9" s="193">
        <f>F20</f>
        <v>0</v>
      </c>
      <c r="J9" s="194">
        <f>E9*I9*H9</f>
        <v>0</v>
      </c>
      <c r="K9" s="210"/>
    </row>
    <row r="10" spans="1:13" ht="31.5" customHeight="1" x14ac:dyDescent="0.25">
      <c r="A10" s="208" t="s">
        <v>131</v>
      </c>
      <c r="B10" s="197" t="s">
        <v>235</v>
      </c>
      <c r="C10" s="196" t="s">
        <v>181</v>
      </c>
      <c r="D10" s="196" t="s">
        <v>181</v>
      </c>
      <c r="E10" s="190">
        <f>K$5/30</f>
        <v>12</v>
      </c>
      <c r="F10" s="190" t="s">
        <v>181</v>
      </c>
      <c r="G10" s="190" t="s">
        <v>162</v>
      </c>
      <c r="H10" s="192">
        <v>0</v>
      </c>
      <c r="I10" s="193">
        <v>0</v>
      </c>
      <c r="J10" s="194">
        <f>E10*I10*H10</f>
        <v>0</v>
      </c>
      <c r="K10" s="211"/>
    </row>
    <row r="11" spans="1:13" ht="31.5" customHeight="1" x14ac:dyDescent="0.25">
      <c r="A11" s="208" t="s">
        <v>132</v>
      </c>
      <c r="B11" s="197" t="s">
        <v>248</v>
      </c>
      <c r="C11" s="196" t="s">
        <v>181</v>
      </c>
      <c r="D11" s="196" t="s">
        <v>181</v>
      </c>
      <c r="E11" s="190" t="s">
        <v>181</v>
      </c>
      <c r="F11" s="190" t="s">
        <v>181</v>
      </c>
      <c r="G11" s="190" t="s">
        <v>249</v>
      </c>
      <c r="H11" s="192">
        <v>0</v>
      </c>
      <c r="I11" s="193">
        <v>0</v>
      </c>
      <c r="J11" s="194">
        <f>H11*I11</f>
        <v>0</v>
      </c>
      <c r="K11" s="160"/>
    </row>
    <row r="12" spans="1:13" ht="31.5" customHeight="1" thickBot="1" x14ac:dyDescent="0.3">
      <c r="A12" s="204"/>
      <c r="B12" s="212" t="s">
        <v>431</v>
      </c>
      <c r="C12" s="212"/>
      <c r="D12" s="212"/>
      <c r="E12" s="212"/>
      <c r="F12" s="212"/>
      <c r="G12" s="212"/>
      <c r="H12" s="212"/>
      <c r="I12" s="212"/>
      <c r="J12" s="213">
        <f>J9+J10+J11</f>
        <v>0</v>
      </c>
      <c r="K12" s="171"/>
    </row>
    <row r="13" spans="1:13" ht="31.5" customHeight="1" thickBot="1" x14ac:dyDescent="0.3">
      <c r="A13" s="142"/>
      <c r="B13" s="142"/>
      <c r="C13" s="142"/>
      <c r="D13" s="142"/>
      <c r="E13" s="142"/>
      <c r="F13" s="142"/>
      <c r="G13" s="142"/>
      <c r="H13" s="142"/>
      <c r="I13" s="142"/>
      <c r="J13" s="142"/>
      <c r="K13" s="142"/>
    </row>
    <row r="14" spans="1:13" ht="33" customHeight="1" x14ac:dyDescent="0.25">
      <c r="A14" s="863" t="s">
        <v>275</v>
      </c>
      <c r="B14" s="864"/>
      <c r="C14" s="864"/>
      <c r="D14" s="864"/>
      <c r="E14" s="864"/>
      <c r="F14" s="865"/>
      <c r="G14" s="198"/>
      <c r="H14" s="142"/>
      <c r="I14" s="142"/>
      <c r="J14" s="142"/>
      <c r="K14" s="142"/>
    </row>
    <row r="15" spans="1:13" ht="23.25" customHeight="1" x14ac:dyDescent="0.25">
      <c r="A15" s="199" t="s">
        <v>250</v>
      </c>
      <c r="B15" s="200" t="s">
        <v>251</v>
      </c>
      <c r="C15" s="201" t="s">
        <v>280</v>
      </c>
      <c r="D15" s="201" t="s">
        <v>279</v>
      </c>
      <c r="E15" s="201" t="s">
        <v>252</v>
      </c>
      <c r="F15" s="177" t="s">
        <v>253</v>
      </c>
      <c r="G15" s="142"/>
      <c r="H15" s="142"/>
      <c r="I15" s="142"/>
      <c r="J15" s="142"/>
      <c r="K15" s="142"/>
    </row>
    <row r="16" spans="1:13" ht="23.25" customHeight="1" x14ac:dyDescent="0.25">
      <c r="A16" s="202" t="s">
        <v>129</v>
      </c>
      <c r="B16" s="866" t="s">
        <v>254</v>
      </c>
      <c r="C16" s="867"/>
      <c r="D16" s="867"/>
      <c r="E16" s="868"/>
      <c r="F16" s="216">
        <f>SUM(F17:F19)</f>
        <v>0</v>
      </c>
      <c r="G16" s="142"/>
      <c r="H16" s="344"/>
      <c r="I16" s="142"/>
      <c r="J16" s="142"/>
      <c r="K16" s="142"/>
    </row>
    <row r="17" spans="1:11" ht="24" customHeight="1" x14ac:dyDescent="0.25">
      <c r="A17" s="199" t="s">
        <v>255</v>
      </c>
      <c r="B17" s="149" t="s">
        <v>256</v>
      </c>
      <c r="C17" s="150" t="s">
        <v>280</v>
      </c>
      <c r="D17" s="203">
        <v>0</v>
      </c>
      <c r="E17" s="64">
        <v>180</v>
      </c>
      <c r="F17" s="214">
        <f>D17*E17</f>
        <v>0</v>
      </c>
      <c r="G17" s="142"/>
      <c r="H17" s="142"/>
      <c r="I17" s="142"/>
      <c r="J17" s="142"/>
      <c r="K17" s="142"/>
    </row>
    <row r="18" spans="1:11" ht="24" customHeight="1" x14ac:dyDescent="0.25">
      <c r="A18" s="199" t="s">
        <v>257</v>
      </c>
      <c r="B18" s="149" t="s">
        <v>258</v>
      </c>
      <c r="C18" s="150" t="s">
        <v>280</v>
      </c>
      <c r="D18" s="203">
        <v>0</v>
      </c>
      <c r="E18" s="64">
        <v>35</v>
      </c>
      <c r="F18" s="214">
        <f t="shared" ref="F18:F19" si="0">D18*E18</f>
        <v>0</v>
      </c>
      <c r="G18" s="142"/>
      <c r="H18" s="142"/>
      <c r="I18" s="142"/>
      <c r="J18" s="142"/>
      <c r="K18" s="142"/>
    </row>
    <row r="19" spans="1:11" ht="23.25" customHeight="1" x14ac:dyDescent="0.25">
      <c r="A19" s="199" t="s">
        <v>259</v>
      </c>
      <c r="B19" s="149" t="s">
        <v>622</v>
      </c>
      <c r="C19" s="150" t="s">
        <v>280</v>
      </c>
      <c r="D19" s="203">
        <v>0</v>
      </c>
      <c r="E19" s="64">
        <v>90</v>
      </c>
      <c r="F19" s="214">
        <f t="shared" si="0"/>
        <v>0</v>
      </c>
      <c r="G19" s="142"/>
      <c r="H19" s="142"/>
      <c r="I19" s="344"/>
      <c r="J19" s="142"/>
      <c r="K19" s="142"/>
    </row>
    <row r="20" spans="1:11" ht="23.25" customHeight="1" x14ac:dyDescent="0.25">
      <c r="A20" s="202" t="s">
        <v>261</v>
      </c>
      <c r="B20" s="866" t="s">
        <v>282</v>
      </c>
      <c r="C20" s="867"/>
      <c r="D20" s="867"/>
      <c r="E20" s="868"/>
      <c r="F20" s="215">
        <f>SUM(F21:F30)</f>
        <v>0</v>
      </c>
      <c r="G20" s="142"/>
      <c r="H20" s="142"/>
      <c r="I20" s="142"/>
      <c r="J20" s="142"/>
      <c r="K20" s="142"/>
    </row>
    <row r="21" spans="1:11" ht="24" customHeight="1" x14ac:dyDescent="0.25">
      <c r="A21" s="199" t="s">
        <v>262</v>
      </c>
      <c r="B21" s="149" t="s">
        <v>278</v>
      </c>
      <c r="C21" s="150" t="s">
        <v>263</v>
      </c>
      <c r="D21" s="203">
        <v>0</v>
      </c>
      <c r="E21" s="64">
        <v>14.5</v>
      </c>
      <c r="F21" s="214">
        <f>D21*E21</f>
        <v>0</v>
      </c>
      <c r="G21" s="142"/>
      <c r="H21" s="142"/>
      <c r="I21" s="142"/>
      <c r="J21" s="142"/>
      <c r="K21" s="142"/>
    </row>
    <row r="22" spans="1:11" ht="24" customHeight="1" x14ac:dyDescent="0.25">
      <c r="A22" s="199" t="s">
        <v>264</v>
      </c>
      <c r="B22" s="149" t="s">
        <v>283</v>
      </c>
      <c r="C22" s="150" t="s">
        <v>280</v>
      </c>
      <c r="D22" s="203">
        <v>0</v>
      </c>
      <c r="E22" s="64">
        <v>2</v>
      </c>
      <c r="F22" s="214">
        <f>D22*E22</f>
        <v>0</v>
      </c>
      <c r="G22" s="142"/>
      <c r="H22" s="142"/>
      <c r="I22" s="142"/>
      <c r="J22" s="142"/>
      <c r="K22" s="142"/>
    </row>
    <row r="23" spans="1:11" ht="24" customHeight="1" x14ac:dyDescent="0.25">
      <c r="A23" s="199" t="s">
        <v>265</v>
      </c>
      <c r="B23" s="149" t="s">
        <v>276</v>
      </c>
      <c r="C23" s="150" t="s">
        <v>280</v>
      </c>
      <c r="D23" s="203">
        <v>0</v>
      </c>
      <c r="E23" s="64">
        <v>14.5</v>
      </c>
      <c r="F23" s="214">
        <f t="shared" ref="F23:F30" si="1">D23*E23</f>
        <v>0</v>
      </c>
      <c r="G23" s="142"/>
      <c r="H23" s="142"/>
      <c r="I23" s="329"/>
      <c r="J23" s="142"/>
      <c r="K23" s="142"/>
    </row>
    <row r="24" spans="1:11" ht="24" customHeight="1" x14ac:dyDescent="0.25">
      <c r="A24" s="199" t="s">
        <v>266</v>
      </c>
      <c r="B24" s="149" t="s">
        <v>260</v>
      </c>
      <c r="C24" s="150" t="s">
        <v>280</v>
      </c>
      <c r="D24" s="203">
        <v>0</v>
      </c>
      <c r="E24" s="64">
        <v>11</v>
      </c>
      <c r="F24" s="214">
        <f t="shared" si="1"/>
        <v>0</v>
      </c>
      <c r="G24" s="142"/>
      <c r="H24" s="142"/>
      <c r="I24" s="142"/>
      <c r="J24" s="142"/>
      <c r="K24" s="142"/>
    </row>
    <row r="25" spans="1:11" ht="24" customHeight="1" x14ac:dyDescent="0.25">
      <c r="A25" s="199" t="s">
        <v>269</v>
      </c>
      <c r="B25" s="149" t="s">
        <v>277</v>
      </c>
      <c r="C25" s="150" t="s">
        <v>280</v>
      </c>
      <c r="D25" s="203">
        <v>0</v>
      </c>
      <c r="E25" s="64">
        <v>72</v>
      </c>
      <c r="F25" s="214">
        <f t="shared" si="1"/>
        <v>0</v>
      </c>
      <c r="G25" s="142"/>
      <c r="H25" s="142"/>
      <c r="I25" s="142"/>
      <c r="J25" s="142"/>
      <c r="K25" s="142"/>
    </row>
    <row r="26" spans="1:11" ht="24" customHeight="1" x14ac:dyDescent="0.25">
      <c r="A26" s="199" t="s">
        <v>271</v>
      </c>
      <c r="B26" s="149" t="s">
        <v>281</v>
      </c>
      <c r="C26" s="150" t="s">
        <v>280</v>
      </c>
      <c r="D26" s="203">
        <v>0</v>
      </c>
      <c r="E26" s="64">
        <v>3</v>
      </c>
      <c r="F26" s="214">
        <f t="shared" si="1"/>
        <v>0</v>
      </c>
      <c r="G26" s="142"/>
      <c r="H26" s="142"/>
      <c r="I26" s="142"/>
      <c r="J26" s="142"/>
      <c r="K26" s="142"/>
    </row>
    <row r="27" spans="1:11" ht="24" customHeight="1" x14ac:dyDescent="0.25">
      <c r="A27" s="199" t="s">
        <v>273</v>
      </c>
      <c r="B27" s="149" t="s">
        <v>267</v>
      </c>
      <c r="C27" s="150" t="s">
        <v>268</v>
      </c>
      <c r="D27" s="203">
        <f>(0.5*22*'Cant. Obras'!F22)</f>
        <v>0</v>
      </c>
      <c r="E27" s="64">
        <v>2.5</v>
      </c>
      <c r="F27" s="214">
        <f t="shared" si="1"/>
        <v>0</v>
      </c>
      <c r="G27" s="142"/>
      <c r="H27" s="142"/>
      <c r="I27" s="142"/>
      <c r="J27" s="142"/>
      <c r="K27" s="142"/>
    </row>
    <row r="28" spans="1:11" ht="24" customHeight="1" x14ac:dyDescent="0.25">
      <c r="A28" s="199" t="s">
        <v>289</v>
      </c>
      <c r="B28" s="149" t="s">
        <v>270</v>
      </c>
      <c r="C28" s="150" t="s">
        <v>268</v>
      </c>
      <c r="D28" s="203">
        <f>D27</f>
        <v>0</v>
      </c>
      <c r="E28" s="64">
        <v>2</v>
      </c>
      <c r="F28" s="214">
        <f t="shared" si="1"/>
        <v>0</v>
      </c>
      <c r="G28" s="142"/>
      <c r="H28" s="142"/>
      <c r="I28" s="142"/>
      <c r="J28" s="142"/>
      <c r="K28" s="142"/>
    </row>
    <row r="29" spans="1:11" ht="24" customHeight="1" x14ac:dyDescent="0.25">
      <c r="A29" s="199" t="s">
        <v>290</v>
      </c>
      <c r="B29" s="149" t="s">
        <v>272</v>
      </c>
      <c r="C29" s="150" t="s">
        <v>280</v>
      </c>
      <c r="D29" s="203">
        <f>'Cant. Obras'!F22*2</f>
        <v>0</v>
      </c>
      <c r="E29" s="64">
        <v>4.0999999999999996</v>
      </c>
      <c r="F29" s="214">
        <f t="shared" si="1"/>
        <v>0</v>
      </c>
      <c r="G29" s="142"/>
      <c r="H29" s="142"/>
      <c r="I29" s="142"/>
      <c r="J29" s="142"/>
      <c r="K29" s="142"/>
    </row>
    <row r="30" spans="1:11" ht="24" customHeight="1" thickBot="1" x14ac:dyDescent="0.3">
      <c r="A30" s="204" t="s">
        <v>291</v>
      </c>
      <c r="B30" s="170" t="s">
        <v>274</v>
      </c>
      <c r="C30" s="205" t="s">
        <v>280</v>
      </c>
      <c r="D30" s="206">
        <f>D29</f>
        <v>0</v>
      </c>
      <c r="E30" s="64">
        <v>15.2</v>
      </c>
      <c r="F30" s="214">
        <f t="shared" si="1"/>
        <v>0</v>
      </c>
      <c r="G30" s="142"/>
      <c r="H30" s="142"/>
      <c r="I30" s="142"/>
      <c r="J30" s="142"/>
      <c r="K30" s="142"/>
    </row>
    <row r="31" spans="1:11" ht="24" customHeight="1" x14ac:dyDescent="0.25">
      <c r="B31" s="67"/>
      <c r="C31" s="67"/>
      <c r="D31" s="67"/>
      <c r="E31" s="67"/>
      <c r="F31" s="67"/>
      <c r="G31" s="67"/>
      <c r="H31" s="67"/>
      <c r="I31" s="67"/>
      <c r="J31" s="67"/>
      <c r="K31" s="67"/>
    </row>
    <row r="32" spans="1:11" ht="24" customHeight="1" x14ac:dyDescent="0.25">
      <c r="B32" s="67"/>
      <c r="C32" s="67"/>
      <c r="D32" s="67"/>
      <c r="E32" s="67"/>
      <c r="F32" s="67"/>
      <c r="G32" s="67"/>
      <c r="H32" s="67"/>
      <c r="I32" s="67"/>
      <c r="J32" s="67"/>
      <c r="K32" s="67"/>
    </row>
    <row r="33" spans="11:11" ht="22.5" customHeight="1" x14ac:dyDescent="0.25">
      <c r="K33" s="67"/>
    </row>
  </sheetData>
  <sheetProtection selectLockedCells="1"/>
  <mergeCells count="18">
    <mergeCell ref="M6:M7"/>
    <mergeCell ref="A1:K1"/>
    <mergeCell ref="A2:K2"/>
    <mergeCell ref="A3:K3"/>
    <mergeCell ref="A6:B7"/>
    <mergeCell ref="K6:K7"/>
    <mergeCell ref="A14:F14"/>
    <mergeCell ref="B16:E16"/>
    <mergeCell ref="B20:E20"/>
    <mergeCell ref="I5:J5"/>
    <mergeCell ref="C6:C7"/>
    <mergeCell ref="I6:J6"/>
    <mergeCell ref="D6:D7"/>
    <mergeCell ref="E6:E7"/>
    <mergeCell ref="F6:F7"/>
    <mergeCell ref="G6:G7"/>
    <mergeCell ref="H6:H7"/>
    <mergeCell ref="A5:H5"/>
  </mergeCells>
  <phoneticPr fontId="0" type="noConversion"/>
  <printOptions horizontalCentered="1"/>
  <pageMargins left="0.31496062992125984" right="0.31496062992125984" top="0.59055118110236227" bottom="0.59055118110236227" header="0.31496062992125984" footer="0.31496062992125984"/>
  <pageSetup paperSize="9" scale="7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topLeftCell="A5" zoomScale="80" zoomScaleNormal="80" workbookViewId="0">
      <selection activeCell="D19" sqref="D19"/>
    </sheetView>
  </sheetViews>
  <sheetFormatPr defaultColWidth="9.140625" defaultRowHeight="15" x14ac:dyDescent="0.25"/>
  <cols>
    <col min="1" max="1" width="20.7109375" style="67" customWidth="1"/>
    <col min="2" max="2" width="25.7109375" style="67" customWidth="1"/>
    <col min="3" max="3" width="14.5703125" style="67" customWidth="1"/>
    <col min="4" max="4" width="15.5703125" style="67" customWidth="1"/>
    <col min="5" max="5" width="15" style="67" customWidth="1"/>
    <col min="6" max="6" width="15.7109375" style="67" customWidth="1"/>
    <col min="7" max="7" width="7.7109375" style="67" customWidth="1"/>
    <col min="8" max="8" width="13.28515625" style="67" customWidth="1"/>
    <col min="9" max="9" width="14.7109375" style="67" customWidth="1"/>
    <col min="10" max="10" width="15.7109375" style="67" customWidth="1"/>
    <col min="11" max="11" width="17.28515625" style="67" bestFit="1" customWidth="1"/>
    <col min="12" max="12" width="14.5703125" style="67" customWidth="1"/>
    <col min="13" max="13" width="26.28515625" style="67" customWidth="1"/>
    <col min="14" max="19" width="4.5703125" style="67" customWidth="1"/>
    <col min="20" max="20" width="3.28515625" style="67" customWidth="1"/>
    <col min="21" max="22" width="4.5703125" style="67" customWidth="1"/>
    <col min="23" max="16384" width="9.140625" style="67"/>
  </cols>
  <sheetData>
    <row r="1" spans="1:14" ht="23.25" customHeight="1" x14ac:dyDescent="0.35">
      <c r="A1" s="912" t="s">
        <v>171</v>
      </c>
      <c r="B1" s="913"/>
      <c r="C1" s="913"/>
      <c r="D1" s="913"/>
      <c r="E1" s="913"/>
      <c r="F1" s="913"/>
      <c r="G1" s="913"/>
      <c r="H1" s="913"/>
      <c r="I1" s="913"/>
      <c r="J1" s="913"/>
      <c r="K1" s="913"/>
      <c r="L1" s="914"/>
    </row>
    <row r="2" spans="1:14" ht="23.25" customHeight="1" x14ac:dyDescent="0.3">
      <c r="A2" s="806" t="s">
        <v>681</v>
      </c>
      <c r="B2" s="807"/>
      <c r="C2" s="807"/>
      <c r="D2" s="807"/>
      <c r="E2" s="807"/>
      <c r="F2" s="807"/>
      <c r="G2" s="807"/>
      <c r="H2" s="807"/>
      <c r="I2" s="807"/>
      <c r="J2" s="807"/>
      <c r="K2" s="807"/>
      <c r="L2" s="808"/>
    </row>
    <row r="3" spans="1:14" ht="23.25" customHeight="1" x14ac:dyDescent="0.3">
      <c r="A3" s="806" t="s">
        <v>758</v>
      </c>
      <c r="B3" s="807"/>
      <c r="C3" s="807"/>
      <c r="D3" s="807"/>
      <c r="E3" s="807"/>
      <c r="F3" s="807"/>
      <c r="G3" s="807"/>
      <c r="H3" s="807"/>
      <c r="I3" s="807"/>
      <c r="J3" s="807"/>
      <c r="K3" s="807"/>
      <c r="L3" s="808"/>
    </row>
    <row r="4" spans="1:14" ht="23.25" customHeight="1" x14ac:dyDescent="0.3">
      <c r="A4" s="513"/>
      <c r="B4" s="514"/>
      <c r="C4" s="514"/>
      <c r="D4" s="514"/>
      <c r="E4" s="514"/>
      <c r="F4" s="514" t="s">
        <v>883</v>
      </c>
      <c r="G4" s="514"/>
      <c r="H4" s="514"/>
      <c r="I4" s="514"/>
      <c r="J4" s="514"/>
      <c r="K4" s="514"/>
      <c r="L4" s="515"/>
    </row>
    <row r="5" spans="1:14" ht="23.25" customHeight="1" thickBot="1" x14ac:dyDescent="0.3">
      <c r="A5" s="915" t="s">
        <v>423</v>
      </c>
      <c r="B5" s="916"/>
      <c r="C5" s="916"/>
      <c r="D5" s="916"/>
      <c r="E5" s="916"/>
      <c r="F5" s="916"/>
      <c r="G5" s="916"/>
      <c r="H5" s="916"/>
      <c r="I5" s="916"/>
      <c r="J5" s="916"/>
      <c r="K5" s="916"/>
      <c r="L5" s="917"/>
    </row>
    <row r="6" spans="1:14" ht="22.5" customHeight="1" x14ac:dyDescent="0.25">
      <c r="A6" s="918" t="s">
        <v>244</v>
      </c>
      <c r="B6" s="919"/>
      <c r="C6" s="919"/>
      <c r="D6" s="919"/>
      <c r="E6" s="919"/>
      <c r="F6" s="919"/>
      <c r="G6" s="919"/>
      <c r="H6" s="919"/>
      <c r="I6" s="919"/>
      <c r="J6" s="919"/>
      <c r="K6" s="919"/>
      <c r="L6" s="920"/>
    </row>
    <row r="7" spans="1:14" ht="22.5" customHeight="1" thickBot="1" x14ac:dyDescent="0.3">
      <c r="A7" s="921" t="s">
        <v>168</v>
      </c>
      <c r="B7" s="922"/>
      <c r="C7" s="922"/>
      <c r="D7" s="922"/>
      <c r="E7" s="922"/>
      <c r="F7" s="922"/>
      <c r="G7" s="922"/>
      <c r="H7" s="922"/>
      <c r="I7" s="922"/>
      <c r="J7" s="922"/>
      <c r="K7" s="922"/>
      <c r="L7" s="923"/>
    </row>
    <row r="8" spans="1:14" ht="22.5" customHeight="1" thickBot="1" x14ac:dyDescent="0.3">
      <c r="A8" s="516" t="s">
        <v>158</v>
      </c>
      <c r="B8" s="937" t="s">
        <v>884</v>
      </c>
      <c r="C8" s="937"/>
      <c r="D8" s="937"/>
      <c r="E8" s="937"/>
      <c r="F8" s="937"/>
      <c r="G8" s="937"/>
      <c r="H8" s="937"/>
      <c r="I8" s="937"/>
      <c r="J8" s="937" t="s">
        <v>498</v>
      </c>
      <c r="K8" s="938"/>
      <c r="L8" s="393">
        <f>'Prazo Valor'!J16</f>
        <v>360</v>
      </c>
    </row>
    <row r="9" spans="1:14" ht="22.5" customHeight="1" thickTop="1" x14ac:dyDescent="0.25">
      <c r="A9" s="929" t="s">
        <v>163</v>
      </c>
      <c r="B9" s="930"/>
      <c r="C9" s="933" t="s">
        <v>164</v>
      </c>
      <c r="D9" s="933" t="s">
        <v>165</v>
      </c>
      <c r="E9" s="933" t="s">
        <v>166</v>
      </c>
      <c r="F9" s="935" t="s">
        <v>167</v>
      </c>
      <c r="G9" s="924" t="s">
        <v>27</v>
      </c>
      <c r="H9" s="924" t="s">
        <v>3</v>
      </c>
      <c r="I9" s="924" t="s">
        <v>36</v>
      </c>
      <c r="J9" s="924"/>
      <c r="K9" s="924"/>
      <c r="L9" s="926" t="s">
        <v>237</v>
      </c>
    </row>
    <row r="10" spans="1:14" ht="22.5" customHeight="1" x14ac:dyDescent="0.25">
      <c r="A10" s="929"/>
      <c r="B10" s="930"/>
      <c r="C10" s="933"/>
      <c r="D10" s="933"/>
      <c r="E10" s="933"/>
      <c r="F10" s="935"/>
      <c r="G10" s="924"/>
      <c r="H10" s="924"/>
      <c r="I10" s="939" t="s">
        <v>292</v>
      </c>
      <c r="J10" s="939" t="s">
        <v>548</v>
      </c>
      <c r="K10" s="940" t="s">
        <v>37</v>
      </c>
      <c r="L10" s="927"/>
    </row>
    <row r="11" spans="1:14" ht="22.5" customHeight="1" x14ac:dyDescent="0.25">
      <c r="A11" s="931"/>
      <c r="B11" s="932"/>
      <c r="C11" s="934"/>
      <c r="D11" s="934"/>
      <c r="E11" s="934"/>
      <c r="F11" s="936"/>
      <c r="G11" s="925"/>
      <c r="H11" s="925"/>
      <c r="I11" s="933"/>
      <c r="J11" s="933"/>
      <c r="K11" s="924"/>
      <c r="L11" s="928"/>
    </row>
    <row r="12" spans="1:14" ht="49.5" customHeight="1" thickBot="1" x14ac:dyDescent="0.3">
      <c r="A12" s="891" t="s">
        <v>526</v>
      </c>
      <c r="B12" s="892"/>
      <c r="C12" s="261">
        <v>30</v>
      </c>
      <c r="D12" s="517">
        <f>C12/144/12</f>
        <v>1.7361111111111112E-2</v>
      </c>
      <c r="E12" s="518">
        <v>12</v>
      </c>
      <c r="F12" s="519">
        <v>0.11890000000000001</v>
      </c>
      <c r="G12" s="518" t="s">
        <v>8</v>
      </c>
      <c r="H12" s="520">
        <v>1</v>
      </c>
      <c r="I12" s="596">
        <v>100018.71</v>
      </c>
      <c r="J12" s="247">
        <f>I12-I12*0.1</f>
        <v>90016.839000000007</v>
      </c>
      <c r="K12" s="521">
        <f>H12*J12</f>
        <v>90016.839000000007</v>
      </c>
      <c r="L12" s="522">
        <f>K12*F12</f>
        <v>10703.002157100002</v>
      </c>
      <c r="N12" s="523"/>
    </row>
    <row r="13" spans="1:14" ht="49.5" hidden="1" customHeight="1" thickBot="1" x14ac:dyDescent="0.3">
      <c r="A13" s="899" t="s">
        <v>526</v>
      </c>
      <c r="B13" s="900"/>
      <c r="C13" s="384">
        <v>0</v>
      </c>
      <c r="D13" s="524">
        <f>C13/100/12</f>
        <v>0</v>
      </c>
      <c r="E13" s="525">
        <v>12</v>
      </c>
      <c r="F13" s="526">
        <f>E13*D13</f>
        <v>0</v>
      </c>
      <c r="G13" s="525" t="s">
        <v>8</v>
      </c>
      <c r="H13" s="527">
        <v>1</v>
      </c>
      <c r="I13" s="385">
        <v>64543.9</v>
      </c>
      <c r="J13" s="386">
        <f>I13-I13*0.1</f>
        <v>58089.51</v>
      </c>
      <c r="K13" s="528">
        <f>H13*J13</f>
        <v>58089.51</v>
      </c>
      <c r="L13" s="387">
        <f>K13*F13</f>
        <v>0</v>
      </c>
      <c r="M13" s="67" t="s">
        <v>539</v>
      </c>
      <c r="N13" s="523"/>
    </row>
    <row r="14" spans="1:14" ht="22.5" customHeight="1" thickBot="1" x14ac:dyDescent="0.3">
      <c r="A14" s="893" t="s">
        <v>26</v>
      </c>
      <c r="B14" s="894"/>
      <c r="C14" s="894"/>
      <c r="D14" s="894"/>
      <c r="E14" s="894"/>
      <c r="F14" s="894"/>
      <c r="G14" s="894"/>
      <c r="H14" s="894"/>
      <c r="I14" s="894"/>
      <c r="J14" s="894"/>
      <c r="K14" s="894"/>
      <c r="L14" s="529">
        <f>L12</f>
        <v>10703.002157100002</v>
      </c>
    </row>
    <row r="15" spans="1:14" ht="22.5" hidden="1" customHeight="1" thickBot="1" x14ac:dyDescent="0.3">
      <c r="A15" s="903" t="s">
        <v>527</v>
      </c>
      <c r="B15" s="903"/>
      <c r="C15" s="530" t="s">
        <v>3</v>
      </c>
      <c r="D15" s="895" t="s">
        <v>239</v>
      </c>
      <c r="E15" s="895" t="s">
        <v>229</v>
      </c>
      <c r="F15" s="895" t="s">
        <v>238</v>
      </c>
      <c r="G15" s="531"/>
      <c r="H15" s="895" t="s">
        <v>360</v>
      </c>
      <c r="I15" s="897">
        <f>I17*(1+(L16/100))</f>
        <v>0</v>
      </c>
      <c r="J15" s="901"/>
      <c r="K15" s="532" t="s">
        <v>198</v>
      </c>
      <c r="L15" s="533">
        <f>'Pes. Admin.'!N2</f>
        <v>84.61</v>
      </c>
    </row>
    <row r="16" spans="1:14" ht="22.5" hidden="1" customHeight="1" thickBot="1" x14ac:dyDescent="0.3">
      <c r="A16" s="903"/>
      <c r="B16" s="903"/>
      <c r="C16" s="534"/>
      <c r="D16" s="896"/>
      <c r="E16" s="896"/>
      <c r="F16" s="896"/>
      <c r="G16" s="535"/>
      <c r="H16" s="896"/>
      <c r="I16" s="898"/>
      <c r="J16" s="902"/>
      <c r="K16" s="485" t="s">
        <v>199</v>
      </c>
      <c r="L16" s="536">
        <f>'Pes. Admin.'!N3</f>
        <v>47.7</v>
      </c>
    </row>
    <row r="17" spans="1:12" ht="22.5" hidden="1" customHeight="1" x14ac:dyDescent="0.25">
      <c r="A17" s="904"/>
      <c r="B17" s="904"/>
      <c r="C17" s="537">
        <v>0</v>
      </c>
      <c r="D17" s="538">
        <f>L8/30</f>
        <v>12</v>
      </c>
      <c r="E17" s="254">
        <f>220*I15*(100+L16)/100</f>
        <v>0</v>
      </c>
      <c r="F17" s="539">
        <f>C17*D17*E17</f>
        <v>0</v>
      </c>
      <c r="G17" s="535"/>
      <c r="H17" s="910" t="s">
        <v>528</v>
      </c>
      <c r="I17" s="911">
        <v>0</v>
      </c>
      <c r="L17" s="481"/>
    </row>
    <row r="18" spans="1:12" ht="20.25" hidden="1" customHeight="1" x14ac:dyDescent="0.25">
      <c r="A18" s="476"/>
      <c r="E18" s="540" t="s">
        <v>236</v>
      </c>
      <c r="F18" s="503">
        <f>F17</f>
        <v>0</v>
      </c>
      <c r="G18" s="535"/>
      <c r="H18" s="910"/>
      <c r="I18" s="911"/>
    </row>
    <row r="19" spans="1:12" ht="22.5" customHeight="1" x14ac:dyDescent="0.25">
      <c r="A19" s="476"/>
      <c r="L19" s="481"/>
    </row>
    <row r="20" spans="1:12" ht="40.5" customHeight="1" x14ac:dyDescent="0.25">
      <c r="A20" s="905" t="s">
        <v>241</v>
      </c>
      <c r="B20" s="906"/>
      <c r="C20" s="541" t="s">
        <v>240</v>
      </c>
      <c r="D20" s="542" t="s">
        <v>876</v>
      </c>
      <c r="E20" s="541" t="s">
        <v>195</v>
      </c>
      <c r="F20" s="541" t="s">
        <v>238</v>
      </c>
      <c r="I20" s="543"/>
      <c r="J20" s="543"/>
      <c r="L20" s="481"/>
    </row>
    <row r="21" spans="1:12" ht="20.25" customHeight="1" thickBot="1" x14ac:dyDescent="0.3">
      <c r="A21" s="907"/>
      <c r="B21" s="904"/>
      <c r="C21" s="603">
        <v>450</v>
      </c>
      <c r="D21" s="343">
        <v>12</v>
      </c>
      <c r="E21" s="544">
        <v>4.71</v>
      </c>
      <c r="F21" s="545">
        <f>C21/10*22*D21*E21</f>
        <v>55954.8</v>
      </c>
      <c r="L21" s="481"/>
    </row>
    <row r="22" spans="1:12" ht="20.25" customHeight="1" thickBot="1" x14ac:dyDescent="0.3">
      <c r="A22" s="476"/>
      <c r="D22" s="491"/>
      <c r="E22" s="546" t="s">
        <v>236</v>
      </c>
      <c r="F22" s="547">
        <f>F21</f>
        <v>55954.8</v>
      </c>
      <c r="K22" s="535" t="s">
        <v>877</v>
      </c>
      <c r="L22" s="548">
        <f>L14+F22</f>
        <v>66657.802157099999</v>
      </c>
    </row>
    <row r="23" spans="1:12" ht="20.25" customHeight="1" thickBot="1" x14ac:dyDescent="0.3">
      <c r="A23" s="510"/>
      <c r="B23" s="511"/>
      <c r="C23" s="511"/>
      <c r="D23" s="511"/>
      <c r="E23" s="511"/>
      <c r="F23" s="511"/>
      <c r="G23" s="511"/>
      <c r="H23" s="511"/>
      <c r="I23" s="511"/>
      <c r="J23" s="511"/>
      <c r="K23" s="511"/>
      <c r="L23" s="512"/>
    </row>
    <row r="24" spans="1:12" ht="21" hidden="1" customHeight="1" x14ac:dyDescent="0.25"/>
    <row r="25" spans="1:12" ht="30" hidden="1" x14ac:dyDescent="0.25">
      <c r="A25" s="905" t="s">
        <v>540</v>
      </c>
      <c r="B25" s="906"/>
      <c r="C25" s="541" t="s">
        <v>240</v>
      </c>
      <c r="D25" s="541" t="s">
        <v>541</v>
      </c>
      <c r="E25" s="541" t="s">
        <v>239</v>
      </c>
      <c r="F25" s="541" t="s">
        <v>544</v>
      </c>
      <c r="G25" s="549" t="s">
        <v>591</v>
      </c>
      <c r="H25" s="541" t="s">
        <v>542</v>
      </c>
      <c r="I25" s="541" t="s">
        <v>543</v>
      </c>
      <c r="J25" s="541" t="s">
        <v>549</v>
      </c>
      <c r="K25" s="541" t="s">
        <v>195</v>
      </c>
      <c r="L25" s="541" t="s">
        <v>238</v>
      </c>
    </row>
    <row r="26" spans="1:12" ht="21" hidden="1" customHeight="1" x14ac:dyDescent="0.25">
      <c r="A26" s="907"/>
      <c r="B26" s="904"/>
      <c r="C26" s="550">
        <v>50</v>
      </c>
      <c r="D26" s="343">
        <v>10</v>
      </c>
      <c r="E26" s="494">
        <f>D21</f>
        <v>12</v>
      </c>
      <c r="F26" s="494"/>
      <c r="G26" s="551"/>
      <c r="H26" s="551">
        <v>0</v>
      </c>
      <c r="I26" s="552">
        <f>G26*((F26*2)+(H26*C26))</f>
        <v>0</v>
      </c>
      <c r="J26" s="553">
        <f>E26*I26</f>
        <v>0</v>
      </c>
      <c r="K26" s="253"/>
      <c r="L26" s="503">
        <f>J26*K26/D26</f>
        <v>0</v>
      </c>
    </row>
    <row r="27" spans="1:12" hidden="1" x14ac:dyDescent="0.25">
      <c r="A27" s="476" t="s">
        <v>590</v>
      </c>
      <c r="E27" s="554"/>
      <c r="F27" s="555"/>
      <c r="J27" s="556" t="s">
        <v>373</v>
      </c>
      <c r="K27" s="555"/>
      <c r="L27" s="557"/>
    </row>
    <row r="28" spans="1:12" ht="15.75" hidden="1" thickBot="1" x14ac:dyDescent="0.3">
      <c r="A28" s="908" t="s">
        <v>669</v>
      </c>
      <c r="B28" s="909"/>
      <c r="C28" s="909"/>
      <c r="D28" s="909"/>
      <c r="E28" s="909"/>
      <c r="F28" s="909"/>
      <c r="G28" s="909"/>
      <c r="H28" s="909"/>
      <c r="I28" s="909"/>
      <c r="J28" s="511"/>
      <c r="K28" s="511"/>
      <c r="L28" s="512"/>
    </row>
    <row r="29" spans="1:12" hidden="1" x14ac:dyDescent="0.25">
      <c r="K29" s="535" t="s">
        <v>545</v>
      </c>
      <c r="L29" s="550"/>
    </row>
    <row r="30" spans="1:12" x14ac:dyDescent="0.25">
      <c r="A30" s="3" t="s">
        <v>590</v>
      </c>
      <c r="B30"/>
      <c r="C30"/>
      <c r="D30"/>
      <c r="E30" s="583"/>
      <c r="F30" s="584"/>
      <c r="G30"/>
      <c r="H30"/>
      <c r="I30"/>
      <c r="J30" s="445"/>
      <c r="K30" s="584"/>
      <c r="L30" s="585"/>
    </row>
    <row r="31" spans="1:12" ht="15.75" thickBot="1" x14ac:dyDescent="0.3">
      <c r="A31" s="889" t="s">
        <v>891</v>
      </c>
      <c r="B31" s="890"/>
      <c r="C31" s="890"/>
      <c r="D31" s="890"/>
      <c r="E31" s="890"/>
      <c r="F31" s="890"/>
      <c r="G31" s="890"/>
      <c r="H31" s="890"/>
      <c r="I31" s="890"/>
      <c r="J31" s="20"/>
      <c r="K31" s="20"/>
      <c r="L31" s="21"/>
    </row>
  </sheetData>
  <sheetProtection selectLockedCells="1"/>
  <mergeCells count="36">
    <mergeCell ref="A7:L7"/>
    <mergeCell ref="H9:H11"/>
    <mergeCell ref="I9:K9"/>
    <mergeCell ref="L9:L11"/>
    <mergeCell ref="A9:B11"/>
    <mergeCell ref="C9:C11"/>
    <mergeCell ref="D9:D11"/>
    <mergeCell ref="E9:E11"/>
    <mergeCell ref="F9:F11"/>
    <mergeCell ref="G9:G11"/>
    <mergeCell ref="J8:K8"/>
    <mergeCell ref="I10:I11"/>
    <mergeCell ref="J10:J11"/>
    <mergeCell ref="K10:K11"/>
    <mergeCell ref="B8:I8"/>
    <mergeCell ref="A1:L1"/>
    <mergeCell ref="A2:L2"/>
    <mergeCell ref="A3:L3"/>
    <mergeCell ref="A5:L5"/>
    <mergeCell ref="A6:L6"/>
    <mergeCell ref="A31:I31"/>
    <mergeCell ref="A12:B12"/>
    <mergeCell ref="A14:K14"/>
    <mergeCell ref="D15:D16"/>
    <mergeCell ref="E15:E16"/>
    <mergeCell ref="F15:F16"/>
    <mergeCell ref="I15:I16"/>
    <mergeCell ref="A13:B13"/>
    <mergeCell ref="J15:J16"/>
    <mergeCell ref="A15:B17"/>
    <mergeCell ref="A25:B26"/>
    <mergeCell ref="A28:I28"/>
    <mergeCell ref="H15:H16"/>
    <mergeCell ref="H17:H18"/>
    <mergeCell ref="I17:I18"/>
    <mergeCell ref="A20:B21"/>
  </mergeCells>
  <printOptions horizontalCentered="1"/>
  <pageMargins left="0.31496062992125984" right="0.31496062992125984" top="0.59055118110236227" bottom="0.59055118110236227" header="0.31496062992125984" footer="0.31496062992125984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="80" zoomScaleNormal="80" workbookViewId="0">
      <selection activeCell="F24" sqref="F24"/>
    </sheetView>
  </sheetViews>
  <sheetFormatPr defaultRowHeight="15" x14ac:dyDescent="0.25"/>
  <cols>
    <col min="2" max="2" width="53.28515625" customWidth="1"/>
    <col min="3" max="3" width="18.7109375" customWidth="1"/>
    <col min="4" max="4" width="16.85546875" customWidth="1"/>
    <col min="5" max="5" width="25.140625" customWidth="1"/>
    <col min="6" max="6" width="16.5703125" customWidth="1"/>
  </cols>
  <sheetData>
    <row r="1" spans="1:8" ht="21" customHeight="1" x14ac:dyDescent="0.3">
      <c r="A1" s="943" t="s">
        <v>171</v>
      </c>
      <c r="B1" s="944"/>
      <c r="C1" s="944"/>
      <c r="D1" s="944"/>
      <c r="E1" s="944"/>
      <c r="F1" s="945"/>
    </row>
    <row r="2" spans="1:8" ht="21" customHeight="1" x14ac:dyDescent="0.3">
      <c r="A2" s="946" t="s">
        <v>681</v>
      </c>
      <c r="B2" s="947"/>
      <c r="C2" s="947"/>
      <c r="D2" s="947"/>
      <c r="E2" s="947"/>
      <c r="F2" s="948"/>
    </row>
    <row r="3" spans="1:8" ht="21" customHeight="1" x14ac:dyDescent="0.3">
      <c r="A3" s="946" t="s">
        <v>758</v>
      </c>
      <c r="B3" s="947"/>
      <c r="C3" s="947"/>
      <c r="D3" s="947"/>
      <c r="E3" s="947"/>
      <c r="F3" s="948"/>
    </row>
    <row r="4" spans="1:8" ht="20.25" customHeight="1" thickBot="1" x14ac:dyDescent="0.35">
      <c r="A4" s="27"/>
      <c r="B4" s="20"/>
      <c r="C4" s="357" t="s">
        <v>762</v>
      </c>
      <c r="D4" s="20"/>
      <c r="E4" s="20"/>
      <c r="F4" s="21"/>
    </row>
    <row r="5" spans="1:8" ht="33" customHeight="1" x14ac:dyDescent="0.25">
      <c r="A5" s="123" t="s">
        <v>161</v>
      </c>
      <c r="B5" s="116" t="str">
        <f>'Prazo Valor'!B16:E16</f>
        <v>Serviços de Manutenção Preventiva e Corretiva para o Campus II Imperatriz-MA</v>
      </c>
      <c r="C5" s="122" t="s">
        <v>452</v>
      </c>
      <c r="D5" s="103">
        <f>'Prazo Valor'!J16</f>
        <v>360</v>
      </c>
      <c r="E5" s="104" t="s">
        <v>179</v>
      </c>
      <c r="F5" s="235">
        <f>SESMT!L6</f>
        <v>8</v>
      </c>
    </row>
    <row r="6" spans="1:8" s="16" customFormat="1" ht="34.5" customHeight="1" x14ac:dyDescent="0.25">
      <c r="A6" s="124" t="s">
        <v>160</v>
      </c>
      <c r="B6" s="105" t="s">
        <v>159</v>
      </c>
      <c r="C6" s="105" t="s">
        <v>4</v>
      </c>
      <c r="D6" s="105" t="s">
        <v>29</v>
      </c>
      <c r="E6" s="105" t="s">
        <v>30</v>
      </c>
      <c r="F6" s="125" t="s">
        <v>31</v>
      </c>
    </row>
    <row r="7" spans="1:8" s="16" customFormat="1" ht="52.5" customHeight="1" x14ac:dyDescent="0.25">
      <c r="A7" s="126" t="s">
        <v>129</v>
      </c>
      <c r="B7" s="106" t="s">
        <v>185</v>
      </c>
      <c r="C7" s="33" t="s">
        <v>5</v>
      </c>
      <c r="D7" s="102">
        <v>3.8</v>
      </c>
      <c r="E7" s="33">
        <v>0</v>
      </c>
      <c r="F7" s="127">
        <f>D7*E7</f>
        <v>0</v>
      </c>
    </row>
    <row r="8" spans="1:8" s="16" customFormat="1" ht="34.5" x14ac:dyDescent="0.25">
      <c r="A8" s="126" t="s">
        <v>130</v>
      </c>
      <c r="B8" s="106" t="s">
        <v>186</v>
      </c>
      <c r="C8" s="33" t="s">
        <v>5</v>
      </c>
      <c r="D8" s="102">
        <v>1</v>
      </c>
      <c r="E8" s="33">
        <v>0</v>
      </c>
      <c r="F8" s="127">
        <f>ROUNDUP((D8*E8),0)</f>
        <v>0</v>
      </c>
    </row>
    <row r="9" spans="1:8" s="16" customFormat="1" ht="24" customHeight="1" x14ac:dyDescent="0.25">
      <c r="A9" s="126" t="s">
        <v>131</v>
      </c>
      <c r="B9" s="107" t="s">
        <v>182</v>
      </c>
      <c r="C9" s="33" t="s">
        <v>5</v>
      </c>
      <c r="D9" s="102" t="s">
        <v>181</v>
      </c>
      <c r="E9" s="33" t="s">
        <v>181</v>
      </c>
      <c r="F9" s="127"/>
    </row>
    <row r="10" spans="1:8" s="16" customFormat="1" ht="24" customHeight="1" x14ac:dyDescent="0.25">
      <c r="A10" s="126" t="s">
        <v>132</v>
      </c>
      <c r="B10" s="107" t="s">
        <v>183</v>
      </c>
      <c r="C10" s="33" t="s">
        <v>5</v>
      </c>
      <c r="D10" s="102" t="s">
        <v>181</v>
      </c>
      <c r="E10" s="33" t="s">
        <v>181</v>
      </c>
      <c r="F10" s="127">
        <v>0</v>
      </c>
    </row>
    <row r="11" spans="1:8" s="16" customFormat="1" ht="21" customHeight="1" x14ac:dyDescent="0.3">
      <c r="A11" s="126" t="s">
        <v>133</v>
      </c>
      <c r="B11" s="108" t="s">
        <v>206</v>
      </c>
      <c r="C11" s="33" t="s">
        <v>5</v>
      </c>
      <c r="D11" s="102" t="s">
        <v>181</v>
      </c>
      <c r="E11" s="109" t="s">
        <v>181</v>
      </c>
      <c r="F11" s="127"/>
    </row>
    <row r="12" spans="1:8" s="16" customFormat="1" ht="34.5" customHeight="1" x14ac:dyDescent="0.3">
      <c r="A12" s="126" t="s">
        <v>134</v>
      </c>
      <c r="B12" s="108" t="s">
        <v>520</v>
      </c>
      <c r="C12" s="33" t="s">
        <v>5</v>
      </c>
      <c r="D12" s="102">
        <v>0.8</v>
      </c>
      <c r="E12" s="33">
        <v>0</v>
      </c>
      <c r="F12" s="127">
        <f>ROUNDUP((D12*E12),0)</f>
        <v>0</v>
      </c>
    </row>
    <row r="13" spans="1:8" ht="18.75" customHeight="1" thickBot="1" x14ac:dyDescent="0.3">
      <c r="A13" s="128"/>
      <c r="B13" s="129"/>
      <c r="C13" s="130"/>
      <c r="D13" s="130"/>
      <c r="E13" s="130"/>
      <c r="F13" s="131"/>
    </row>
    <row r="15" spans="1:8" ht="15.75" thickBot="1" x14ac:dyDescent="0.3"/>
    <row r="16" spans="1:8" ht="33" customHeight="1" thickBot="1" x14ac:dyDescent="0.3">
      <c r="D16" s="941" t="s">
        <v>581</v>
      </c>
      <c r="E16" s="942"/>
      <c r="F16" s="36">
        <f>ROUNDUP(F11+F12,0)</f>
        <v>0</v>
      </c>
      <c r="G16" s="29" t="s">
        <v>188</v>
      </c>
      <c r="H16" s="118">
        <v>40</v>
      </c>
    </row>
    <row r="17" spans="1:13" ht="18.75" customHeight="1" thickBot="1" x14ac:dyDescent="0.3">
      <c r="D17" s="28"/>
      <c r="E17" s="28"/>
      <c r="F17" s="37"/>
      <c r="H17" s="134"/>
    </row>
    <row r="18" spans="1:13" ht="33" customHeight="1" thickBot="1" x14ac:dyDescent="0.3">
      <c r="D18" s="941" t="s">
        <v>187</v>
      </c>
      <c r="E18" s="942"/>
      <c r="F18" s="36">
        <f>ROUNDUP(F9+F10,0)</f>
        <v>0</v>
      </c>
      <c r="G18" s="29" t="s">
        <v>188</v>
      </c>
      <c r="H18" s="118">
        <v>15</v>
      </c>
    </row>
    <row r="19" spans="1:13" ht="18.75" customHeight="1" thickBot="1" x14ac:dyDescent="0.3">
      <c r="D19" s="28"/>
      <c r="E19" s="28"/>
      <c r="F19" s="37"/>
    </row>
    <row r="20" spans="1:13" ht="32.25" customHeight="1" thickBot="1" x14ac:dyDescent="0.3">
      <c r="D20" s="941" t="s">
        <v>521</v>
      </c>
      <c r="E20" s="942"/>
      <c r="F20" s="36">
        <v>0</v>
      </c>
      <c r="G20" s="29" t="s">
        <v>457</v>
      </c>
      <c r="M20" t="s">
        <v>682</v>
      </c>
    </row>
    <row r="21" spans="1:13" ht="22.5" customHeight="1" thickBot="1" x14ac:dyDescent="0.3">
      <c r="D21" s="132"/>
      <c r="E21" s="133"/>
      <c r="F21" s="36"/>
      <c r="G21" s="29"/>
    </row>
    <row r="22" spans="1:13" ht="32.25" customHeight="1" x14ac:dyDescent="0.25">
      <c r="D22" s="941" t="s">
        <v>458</v>
      </c>
      <c r="E22" s="942"/>
      <c r="F22" s="127">
        <v>0</v>
      </c>
      <c r="G22" s="29" t="s">
        <v>457</v>
      </c>
    </row>
    <row r="23" spans="1:13" ht="18.75" customHeight="1" x14ac:dyDescent="0.25"/>
    <row r="24" spans="1:13" ht="18.75" customHeight="1" x14ac:dyDescent="0.25">
      <c r="A24" s="33" t="s">
        <v>135</v>
      </c>
      <c r="B24" s="101" t="s">
        <v>184</v>
      </c>
      <c r="C24" s="33" t="s">
        <v>5</v>
      </c>
      <c r="D24" s="102">
        <v>3</v>
      </c>
      <c r="E24" s="33">
        <f>ROUNDUP(F5/2,0)</f>
        <v>4</v>
      </c>
      <c r="F24" s="33">
        <f>ROUNDUP((D24*E24),0)</f>
        <v>12</v>
      </c>
    </row>
  </sheetData>
  <sheetProtection selectLockedCells="1"/>
  <mergeCells count="7">
    <mergeCell ref="D22:E22"/>
    <mergeCell ref="D16:E16"/>
    <mergeCell ref="D18:E18"/>
    <mergeCell ref="D20:E20"/>
    <mergeCell ref="A1:F1"/>
    <mergeCell ref="A2:F2"/>
    <mergeCell ref="A3:F3"/>
  </mergeCells>
  <phoneticPr fontId="0" type="noConversion"/>
  <pageMargins left="0.31496062992125984" right="0.31496062992125984" top="0.59055118110236227" bottom="0.59055118110236227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view="pageBreakPreview" zoomScale="90" zoomScaleNormal="100" zoomScaleSheetLayoutView="90" workbookViewId="0">
      <selection activeCell="D3" sqref="D3:D4"/>
    </sheetView>
  </sheetViews>
  <sheetFormatPr defaultRowHeight="15" x14ac:dyDescent="0.25"/>
  <cols>
    <col min="1" max="1" width="12.7109375" customWidth="1"/>
    <col min="2" max="2" width="8.42578125" style="68" bestFit="1" customWidth="1"/>
    <col min="3" max="4" width="8.42578125" style="68" customWidth="1"/>
    <col min="5" max="5" width="10.85546875" bestFit="1" customWidth="1"/>
    <col min="6" max="8" width="8.7109375" customWidth="1"/>
    <col min="9" max="9" width="7.42578125" bestFit="1" customWidth="1"/>
    <col min="10" max="11" width="6.7109375" customWidth="1"/>
  </cols>
  <sheetData>
    <row r="1" spans="1:17" ht="15.75" thickBot="1" x14ac:dyDescent="0.3">
      <c r="A1" s="303" t="s">
        <v>456</v>
      </c>
      <c r="B1" s="951" t="str">
        <f>'[1]Pes. Produção'!A8</f>
        <v>RESUMO</v>
      </c>
      <c r="C1" s="951"/>
      <c r="D1" s="951"/>
      <c r="E1" s="951"/>
      <c r="F1" s="951"/>
      <c r="G1" s="951"/>
      <c r="H1" s="951"/>
      <c r="I1" s="951"/>
      <c r="J1" s="951"/>
      <c r="K1" s="951"/>
      <c r="L1" s="951"/>
      <c r="M1" s="951"/>
      <c r="N1" s="951"/>
      <c r="O1" s="951"/>
      <c r="P1" s="952"/>
    </row>
    <row r="2" spans="1:17" ht="30" x14ac:dyDescent="0.25">
      <c r="A2" s="953" t="s">
        <v>342</v>
      </c>
      <c r="B2" s="956" t="s">
        <v>343</v>
      </c>
      <c r="C2" s="959" t="s">
        <v>629</v>
      </c>
      <c r="D2" s="960"/>
      <c r="E2" s="304"/>
      <c r="F2" s="304"/>
      <c r="G2" s="304"/>
      <c r="H2" s="305" t="s">
        <v>630</v>
      </c>
      <c r="I2" s="961" t="s">
        <v>357</v>
      </c>
      <c r="J2" s="959" t="s">
        <v>344</v>
      </c>
      <c r="K2" s="960"/>
      <c r="L2" s="301" t="s">
        <v>345</v>
      </c>
      <c r="M2" s="301" t="s">
        <v>345</v>
      </c>
      <c r="N2" s="306" t="s">
        <v>358</v>
      </c>
      <c r="O2" s="306" t="s">
        <v>358</v>
      </c>
      <c r="P2" s="968" t="s">
        <v>346</v>
      </c>
    </row>
    <row r="3" spans="1:17" ht="15" customHeight="1" x14ac:dyDescent="0.25">
      <c r="A3" s="954"/>
      <c r="B3" s="957"/>
      <c r="C3" s="975" t="s">
        <v>631</v>
      </c>
      <c r="D3" s="977" t="s">
        <v>632</v>
      </c>
      <c r="E3" s="971" t="s">
        <v>633</v>
      </c>
      <c r="F3" s="972" t="s">
        <v>634</v>
      </c>
      <c r="G3" s="973"/>
      <c r="H3" s="974"/>
      <c r="I3" s="962"/>
      <c r="J3" s="964"/>
      <c r="K3" s="965"/>
      <c r="L3" s="307"/>
      <c r="M3" s="307"/>
      <c r="N3" s="308"/>
      <c r="O3" s="308"/>
      <c r="P3" s="969"/>
    </row>
    <row r="4" spans="1:17" ht="30" x14ac:dyDescent="0.25">
      <c r="A4" s="955"/>
      <c r="B4" s="958"/>
      <c r="C4" s="976"/>
      <c r="D4" s="977"/>
      <c r="E4" s="971"/>
      <c r="F4" s="309" t="s">
        <v>635</v>
      </c>
      <c r="G4" s="309" t="s">
        <v>636</v>
      </c>
      <c r="H4" s="310" t="s">
        <v>1</v>
      </c>
      <c r="I4" s="963"/>
      <c r="J4" s="966"/>
      <c r="K4" s="967"/>
      <c r="L4" s="300" t="s">
        <v>529</v>
      </c>
      <c r="M4" s="300" t="s">
        <v>530</v>
      </c>
      <c r="N4" s="308" t="s">
        <v>536</v>
      </c>
      <c r="O4" s="308" t="s">
        <v>537</v>
      </c>
      <c r="P4" s="970"/>
    </row>
    <row r="5" spans="1:17" ht="15" hidden="1" customHeight="1" x14ac:dyDescent="0.25">
      <c r="A5" s="50"/>
      <c r="B5" s="49"/>
      <c r="C5" s="311"/>
      <c r="D5" s="48"/>
      <c r="E5" s="312"/>
      <c r="F5" s="313" t="s">
        <v>637</v>
      </c>
      <c r="G5" s="314" t="s">
        <v>638</v>
      </c>
      <c r="H5" s="69" t="s">
        <v>347</v>
      </c>
      <c r="I5" s="47"/>
      <c r="J5" s="70" t="s">
        <v>348</v>
      </c>
      <c r="K5" s="70"/>
      <c r="L5" s="70"/>
      <c r="M5" s="69" t="s">
        <v>349</v>
      </c>
      <c r="N5" s="73"/>
      <c r="O5" s="73"/>
      <c r="P5" s="71" t="s">
        <v>350</v>
      </c>
    </row>
    <row r="6" spans="1:17" x14ac:dyDescent="0.25">
      <c r="A6" s="604" t="s">
        <v>900</v>
      </c>
      <c r="B6" s="117">
        <v>10</v>
      </c>
      <c r="C6" s="249">
        <f>B6/60</f>
        <v>0.16666666666666666</v>
      </c>
      <c r="D6" s="117">
        <v>0</v>
      </c>
      <c r="E6" s="302">
        <v>0</v>
      </c>
      <c r="F6" s="117">
        <f>8+E6*2</f>
        <v>8</v>
      </c>
      <c r="G6" s="117">
        <f>(8+D6)*2</f>
        <v>16</v>
      </c>
      <c r="H6" s="117">
        <f t="shared" ref="H6:H10" si="0">3*8*2</f>
        <v>48</v>
      </c>
      <c r="I6" s="117"/>
      <c r="J6" s="117">
        <f>2*8</f>
        <v>16</v>
      </c>
      <c r="K6" s="117">
        <f>3*8</f>
        <v>24</v>
      </c>
      <c r="L6" s="117">
        <f>E6+J6</f>
        <v>16</v>
      </c>
      <c r="M6" s="117">
        <f>K6+E6</f>
        <v>24</v>
      </c>
      <c r="N6" s="249">
        <f t="shared" ref="N6:N10" si="1">2*L6</f>
        <v>32</v>
      </c>
      <c r="O6" s="249">
        <f t="shared" ref="O6:O10" si="2">3*M6</f>
        <v>72</v>
      </c>
      <c r="P6" s="250">
        <f>J6/8</f>
        <v>2</v>
      </c>
    </row>
    <row r="7" spans="1:17" x14ac:dyDescent="0.25">
      <c r="A7" s="604"/>
      <c r="B7" s="117"/>
      <c r="C7" s="249"/>
      <c r="D7" s="117"/>
      <c r="E7" s="302"/>
      <c r="F7" s="117"/>
      <c r="G7" s="117"/>
      <c r="H7" s="117"/>
      <c r="I7" s="117"/>
      <c r="J7" s="117"/>
      <c r="K7" s="117"/>
      <c r="L7" s="117"/>
      <c r="M7" s="117"/>
      <c r="N7" s="249"/>
      <c r="O7" s="249"/>
      <c r="P7" s="250"/>
    </row>
    <row r="8" spans="1:17" x14ac:dyDescent="0.25">
      <c r="A8" s="604" t="s">
        <v>901</v>
      </c>
      <c r="B8" s="117">
        <v>10</v>
      </c>
      <c r="C8" s="249">
        <f>B8/80</f>
        <v>0.125</v>
      </c>
      <c r="D8" s="117">
        <v>0</v>
      </c>
      <c r="E8" s="302">
        <f>ROUNDUP(C8,0)</f>
        <v>1</v>
      </c>
      <c r="F8" s="117">
        <f>8+E8*2</f>
        <v>10</v>
      </c>
      <c r="G8" s="117">
        <f>(8+D8)*2</f>
        <v>16</v>
      </c>
      <c r="H8" s="117">
        <f t="shared" si="0"/>
        <v>48</v>
      </c>
      <c r="I8" s="117" t="s">
        <v>351</v>
      </c>
      <c r="J8" s="117">
        <f>2*8</f>
        <v>16</v>
      </c>
      <c r="K8" s="117">
        <f>3*8</f>
        <v>24</v>
      </c>
      <c r="L8" s="117">
        <f>E8+J8</f>
        <v>17</v>
      </c>
      <c r="M8" s="117">
        <f>K8+E8</f>
        <v>25</v>
      </c>
      <c r="N8" s="249">
        <f t="shared" si="1"/>
        <v>34</v>
      </c>
      <c r="O8" s="249">
        <f t="shared" si="2"/>
        <v>75</v>
      </c>
      <c r="P8" s="250">
        <f>(J8/8)</f>
        <v>2</v>
      </c>
    </row>
    <row r="9" spans="1:17" x14ac:dyDescent="0.25">
      <c r="A9" s="604"/>
      <c r="B9" s="117"/>
      <c r="C9" s="249"/>
      <c r="D9" s="117"/>
      <c r="E9" s="302"/>
      <c r="F9" s="117"/>
      <c r="G9" s="117"/>
      <c r="H9" s="117"/>
      <c r="I9" s="117"/>
      <c r="J9" s="117"/>
      <c r="K9" s="117"/>
      <c r="L9" s="117"/>
      <c r="M9" s="117"/>
      <c r="N9" s="249"/>
      <c r="O9" s="249"/>
      <c r="P9" s="250"/>
    </row>
    <row r="10" spans="1:17" ht="15.75" thickBot="1" x14ac:dyDescent="0.3">
      <c r="A10" s="605" t="s">
        <v>902</v>
      </c>
      <c r="B10" s="59">
        <v>10</v>
      </c>
      <c r="C10" s="315">
        <f>B10/60</f>
        <v>0.16666666666666666</v>
      </c>
      <c r="D10" s="59">
        <v>0</v>
      </c>
      <c r="E10" s="302">
        <f>ROUNDUP(C10,0)</f>
        <v>1</v>
      </c>
      <c r="F10" s="59">
        <f>8+E10*2</f>
        <v>10</v>
      </c>
      <c r="G10" s="59">
        <f>(8+D10)*2</f>
        <v>16</v>
      </c>
      <c r="H10" s="59">
        <f t="shared" si="0"/>
        <v>48</v>
      </c>
      <c r="I10" s="59" t="s">
        <v>351</v>
      </c>
      <c r="J10" s="59">
        <f>2*8</f>
        <v>16</v>
      </c>
      <c r="K10" s="59">
        <f>3*8</f>
        <v>24</v>
      </c>
      <c r="L10" s="59">
        <f>E10+J10</f>
        <v>17</v>
      </c>
      <c r="M10" s="59">
        <f>K10+E10</f>
        <v>25</v>
      </c>
      <c r="N10" s="315">
        <f t="shared" si="1"/>
        <v>34</v>
      </c>
      <c r="O10" s="315">
        <f t="shared" si="2"/>
        <v>75</v>
      </c>
      <c r="P10" s="251">
        <f>(J10/8)</f>
        <v>2</v>
      </c>
    </row>
    <row r="11" spans="1:17" x14ac:dyDescent="0.25">
      <c r="A11" s="606"/>
      <c r="E11" s="68"/>
      <c r="F11" s="68"/>
      <c r="G11" s="68"/>
    </row>
    <row r="12" spans="1:17" x14ac:dyDescent="0.25">
      <c r="A12" s="949" t="s">
        <v>352</v>
      </c>
      <c r="B12" s="949"/>
      <c r="C12" s="949"/>
      <c r="E12" s="68"/>
      <c r="F12" s="68"/>
      <c r="G12" s="68"/>
    </row>
    <row r="13" spans="1:17" x14ac:dyDescent="0.25">
      <c r="A13" s="950" t="s">
        <v>353</v>
      </c>
      <c r="B13" s="950"/>
      <c r="C13" s="950"/>
      <c r="D13" s="950"/>
      <c r="E13" s="950"/>
      <c r="F13" s="950"/>
      <c r="G13" s="950"/>
      <c r="H13" s="950"/>
      <c r="I13" s="950"/>
      <c r="J13" s="950"/>
      <c r="K13" s="950"/>
      <c r="L13" s="950"/>
      <c r="M13" s="950"/>
      <c r="N13" s="950"/>
      <c r="O13" s="950"/>
      <c r="P13" s="950"/>
    </row>
    <row r="14" spans="1:17" x14ac:dyDescent="0.25">
      <c r="A14" t="s">
        <v>639</v>
      </c>
      <c r="B14"/>
      <c r="C14"/>
      <c r="D14"/>
    </row>
    <row r="15" spans="1:17" x14ac:dyDescent="0.25">
      <c r="A15" t="s">
        <v>640</v>
      </c>
      <c r="B15"/>
      <c r="C15"/>
      <c r="D15"/>
    </row>
    <row r="16" spans="1:17" x14ac:dyDescent="0.25">
      <c r="A16" s="950" t="s">
        <v>354</v>
      </c>
      <c r="B16" s="950"/>
      <c r="C16" s="950"/>
      <c r="D16" s="950"/>
      <c r="E16" s="950"/>
      <c r="F16" s="950"/>
      <c r="G16" s="950"/>
      <c r="H16" s="950"/>
      <c r="I16" s="950"/>
      <c r="J16" s="950"/>
      <c r="K16" s="950"/>
      <c r="L16" s="950"/>
      <c r="M16" s="950"/>
      <c r="N16" s="950"/>
      <c r="O16" s="950"/>
      <c r="P16" s="950"/>
      <c r="Q16" s="950"/>
    </row>
    <row r="17" spans="1:17" x14ac:dyDescent="0.25">
      <c r="A17" s="950" t="s">
        <v>355</v>
      </c>
      <c r="B17" s="950"/>
      <c r="C17" s="950"/>
      <c r="D17" s="950"/>
      <c r="E17" s="950"/>
      <c r="F17" s="950"/>
      <c r="G17" s="950"/>
      <c r="H17" s="950"/>
      <c r="I17" s="950"/>
      <c r="J17" s="950"/>
      <c r="K17" s="950"/>
      <c r="L17" s="950"/>
      <c r="M17" s="950"/>
      <c r="N17" s="950"/>
      <c r="O17" s="950"/>
      <c r="P17" s="950"/>
      <c r="Q17" s="950"/>
    </row>
    <row r="18" spans="1:17" x14ac:dyDescent="0.25">
      <c r="A18" s="950" t="s">
        <v>356</v>
      </c>
      <c r="B18" s="950"/>
      <c r="C18" s="950"/>
      <c r="D18" s="950"/>
      <c r="E18" s="950"/>
      <c r="F18" s="950"/>
      <c r="G18" s="950"/>
      <c r="H18" s="950"/>
      <c r="I18" s="950"/>
      <c r="J18" s="950"/>
      <c r="K18" s="950"/>
      <c r="L18" s="950"/>
      <c r="M18" s="950"/>
      <c r="N18" s="950"/>
      <c r="O18" s="950"/>
      <c r="P18" s="950"/>
      <c r="Q18" s="950"/>
    </row>
    <row r="19" spans="1:17" x14ac:dyDescent="0.25">
      <c r="E19" s="68"/>
      <c r="F19" s="68"/>
      <c r="G19" s="68"/>
    </row>
  </sheetData>
  <mergeCells count="16">
    <mergeCell ref="B1:P1"/>
    <mergeCell ref="A2:A4"/>
    <mergeCell ref="B2:B4"/>
    <mergeCell ref="C2:D2"/>
    <mergeCell ref="I2:I4"/>
    <mergeCell ref="J2:K4"/>
    <mergeCell ref="P2:P4"/>
    <mergeCell ref="E3:E4"/>
    <mergeCell ref="F3:H3"/>
    <mergeCell ref="C3:C4"/>
    <mergeCell ref="D3:D4"/>
    <mergeCell ref="A12:C12"/>
    <mergeCell ref="A13:P13"/>
    <mergeCell ref="A16:Q16"/>
    <mergeCell ref="A17:Q17"/>
    <mergeCell ref="A18:Q18"/>
  </mergeCells>
  <pageMargins left="0.51181102362204722" right="0.51181102362204722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2</vt:i4>
      </vt:variant>
    </vt:vector>
  </HeadingPairs>
  <TitlesOfParts>
    <vt:vector size="18" baseType="lpstr">
      <vt:lpstr>Prazo Valor</vt:lpstr>
      <vt:lpstr>Pes. Produção</vt:lpstr>
      <vt:lpstr>Vigias</vt:lpstr>
      <vt:lpstr>Pes. Admin.</vt:lpstr>
      <vt:lpstr>SESMT</vt:lpstr>
      <vt:lpstr>Mat. Esc. Obra</vt:lpstr>
      <vt:lpstr>Veíc.Mot.</vt:lpstr>
      <vt:lpstr>Cant. Obras</vt:lpstr>
      <vt:lpstr>Perm. Vg.Campus</vt:lpstr>
      <vt:lpstr>Qdade . Operários</vt:lpstr>
      <vt:lpstr>Curva ABC de Insumos</vt:lpstr>
      <vt:lpstr>Resumo</vt:lpstr>
      <vt:lpstr>Adm.Local.Empresa</vt:lpstr>
      <vt:lpstr>TAB.DEPR.</vt:lpstr>
      <vt:lpstr>Plan1</vt:lpstr>
      <vt:lpstr>Plan2</vt:lpstr>
      <vt:lpstr>Adm.Local.Empresa!Area_de_impressao</vt:lpstr>
      <vt:lpstr>Adm.Local.Empresa!Titulos_de_impressao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Sales</dc:creator>
  <cp:lastModifiedBy>Rubens</cp:lastModifiedBy>
  <cp:lastPrinted>2023-11-27T14:10:40Z</cp:lastPrinted>
  <dcterms:created xsi:type="dcterms:W3CDTF">2009-07-14T23:27:44Z</dcterms:created>
  <dcterms:modified xsi:type="dcterms:W3CDTF">2023-11-27T14:10:52Z</dcterms:modified>
</cp:coreProperties>
</file>